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 BLOCO 1 ARQ\"/>
    </mc:Choice>
  </mc:AlternateContent>
  <xr:revisionPtr revIDLastSave="0" documentId="13_ncr:1_{ADCB460C-E78F-4123-A745-3A878864AD93}" xr6:coauthVersionLast="47" xr6:coauthVersionMax="47" xr10:uidLastSave="{00000000-0000-0000-0000-000000000000}"/>
  <bookViews>
    <workbookView xWindow="-108" yWindow="-108" windowWidth="23256" windowHeight="12456" tabRatio="782" firstSheet="2" activeTab="7" xr2:uid="{00000000-000D-0000-FFFF-FFFF00000000}"/>
  </bookViews>
  <sheets>
    <sheet name="DEMOLIÇÕES E RETIRADAS" sheetId="32" r:id="rId1"/>
    <sheet name="MOVIMENTOS DE TERRA" sheetId="33" r:id="rId2"/>
    <sheet name="CONTENÇÃO COMPLEM" sheetId="38" r:id="rId3"/>
    <sheet name="DRENAGEM" sheetId="39" r:id="rId4"/>
    <sheet name="MARQUISES BLOCO 1" sheetId="35" r:id="rId5"/>
    <sheet name="STEEL DECK" sheetId="36" r:id="rId6"/>
    <sheet name="CONCRETO MAGRO" sheetId="34" r:id="rId7"/>
    <sheet name="EST ELEVATÓRIA" sheetId="43" r:id="rId8"/>
    <sheet name="PAISAGISMO" sheetId="42" r:id="rId9"/>
    <sheet name="COMPLEMENTARES EST BL 01" sheetId="40" r:id="rId10"/>
    <sheet name="ENCHIM. PISO 1 PAV" sheetId="4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43" l="1"/>
  <c r="N59" i="43"/>
  <c r="N55" i="43"/>
  <c r="N53" i="43"/>
  <c r="N51" i="43"/>
  <c r="N49" i="43"/>
  <c r="N47" i="43"/>
  <c r="N45" i="43"/>
  <c r="N37" i="43"/>
  <c r="N23" i="43"/>
  <c r="D35" i="43"/>
  <c r="N35" i="43" s="1"/>
  <c r="K31" i="43"/>
  <c r="N31" i="43" s="1"/>
  <c r="N41" i="43"/>
  <c r="N39" i="43"/>
  <c r="K32" i="43"/>
  <c r="N32" i="43" s="1"/>
  <c r="K30" i="43"/>
  <c r="K29" i="43"/>
  <c r="K28" i="43"/>
  <c r="K27" i="43"/>
  <c r="K26" i="43"/>
  <c r="N26" i="43" s="1"/>
  <c r="K25" i="43"/>
  <c r="N19" i="43"/>
  <c r="K13" i="43"/>
  <c r="N13" i="43" s="1"/>
  <c r="J162" i="32"/>
  <c r="J81" i="32"/>
  <c r="M81" i="32" s="1"/>
  <c r="M231" i="42"/>
  <c r="M251" i="42"/>
  <c r="M249" i="42"/>
  <c r="M248" i="42"/>
  <c r="M247" i="42"/>
  <c r="M246" i="42"/>
  <c r="M245" i="42"/>
  <c r="M243" i="42"/>
  <c r="M242" i="42"/>
  <c r="M240" i="42"/>
  <c r="M238" i="42"/>
  <c r="M237" i="42"/>
  <c r="M230" i="42"/>
  <c r="M229" i="42"/>
  <c r="M228" i="42"/>
  <c r="M227" i="42"/>
  <c r="M225" i="42"/>
  <c r="M224" i="42"/>
  <c r="M223" i="42"/>
  <c r="M222" i="42"/>
  <c r="M220" i="42"/>
  <c r="M219" i="42"/>
  <c r="M218" i="42"/>
  <c r="M216" i="42"/>
  <c r="M215" i="42"/>
  <c r="M214" i="42"/>
  <c r="M213" i="42"/>
  <c r="M266" i="42"/>
  <c r="M264" i="42"/>
  <c r="M262" i="42"/>
  <c r="M261" i="42"/>
  <c r="M260" i="42"/>
  <c r="M259" i="42"/>
  <c r="M257" i="42"/>
  <c r="M255" i="42"/>
  <c r="M254" i="42"/>
  <c r="D231" i="42"/>
  <c r="M132" i="42"/>
  <c r="M131" i="42"/>
  <c r="H129" i="42"/>
  <c r="M129" i="42" s="1"/>
  <c r="H126" i="42"/>
  <c r="M126" i="42" s="1"/>
  <c r="H125" i="42"/>
  <c r="M125" i="42" s="1"/>
  <c r="H122" i="42"/>
  <c r="M122" i="42" s="1"/>
  <c r="H121" i="42"/>
  <c r="M121" i="42" s="1"/>
  <c r="M123" i="42" s="1"/>
  <c r="H119" i="42"/>
  <c r="M119" i="42" s="1"/>
  <c r="H118" i="42"/>
  <c r="M118" i="42" s="1"/>
  <c r="H117" i="42"/>
  <c r="M117" i="42" s="1"/>
  <c r="M114" i="42"/>
  <c r="D113" i="42"/>
  <c r="M113" i="42" s="1"/>
  <c r="D111" i="42"/>
  <c r="M111" i="42" s="1"/>
  <c r="H269" i="42"/>
  <c r="M269" i="42" s="1"/>
  <c r="M273" i="42"/>
  <c r="M271" i="42"/>
  <c r="D209" i="42"/>
  <c r="H209" i="42" s="1"/>
  <c r="M209" i="42" s="1"/>
  <c r="D207" i="42"/>
  <c r="H207" i="42" s="1"/>
  <c r="M207" i="42" s="1"/>
  <c r="D206" i="42"/>
  <c r="H206" i="42" s="1"/>
  <c r="M206" i="42" s="1"/>
  <c r="D205" i="42"/>
  <c r="H205" i="42" s="1"/>
  <c r="M205" i="42" s="1"/>
  <c r="M202" i="42"/>
  <c r="H200" i="42"/>
  <c r="M200" i="42" s="1"/>
  <c r="H199" i="42"/>
  <c r="M199" i="42" s="1"/>
  <c r="H198" i="42"/>
  <c r="M198" i="42" s="1"/>
  <c r="J197" i="42"/>
  <c r="M197" i="42" s="1"/>
  <c r="J196" i="42"/>
  <c r="M196" i="42" s="1"/>
  <c r="H195" i="42"/>
  <c r="M195" i="42" s="1"/>
  <c r="J182" i="42"/>
  <c r="M182" i="42" s="1"/>
  <c r="M181" i="42"/>
  <c r="J18" i="42"/>
  <c r="M18" i="42" s="1"/>
  <c r="J16" i="42"/>
  <c r="M16" i="42" s="1"/>
  <c r="M17" i="42"/>
  <c r="M192" i="42"/>
  <c r="M190" i="42"/>
  <c r="M14" i="42"/>
  <c r="M13" i="42"/>
  <c r="M12" i="42"/>
  <c r="M187" i="42"/>
  <c r="M188" i="42"/>
  <c r="M186" i="42"/>
  <c r="M185" i="42"/>
  <c r="M180" i="42"/>
  <c r="H174" i="42"/>
  <c r="M174" i="42" s="1"/>
  <c r="M178" i="42"/>
  <c r="M176" i="42"/>
  <c r="M170" i="42"/>
  <c r="M169" i="42"/>
  <c r="M168" i="42"/>
  <c r="M167" i="42"/>
  <c r="M166" i="42"/>
  <c r="M165" i="42"/>
  <c r="M161" i="42"/>
  <c r="M159" i="42"/>
  <c r="M157" i="42"/>
  <c r="H143" i="42"/>
  <c r="M143" i="42" s="1"/>
  <c r="H155" i="42"/>
  <c r="M155" i="42" s="1"/>
  <c r="M153" i="42"/>
  <c r="M151" i="42"/>
  <c r="H149" i="42"/>
  <c r="M149" i="42" s="1"/>
  <c r="H147" i="42"/>
  <c r="M147" i="42" s="1"/>
  <c r="H145" i="42"/>
  <c r="M145" i="42" s="1"/>
  <c r="D141" i="42"/>
  <c r="H141" i="42" s="1"/>
  <c r="M141" i="42" s="1"/>
  <c r="H138" i="42"/>
  <c r="M138" i="42" s="1"/>
  <c r="H137" i="42"/>
  <c r="M137" i="42" s="1"/>
  <c r="M109" i="42"/>
  <c r="D105" i="42"/>
  <c r="H105" i="42" s="1"/>
  <c r="M105" i="42" s="1"/>
  <c r="H107" i="42"/>
  <c r="M107" i="42" s="1"/>
  <c r="H104" i="42"/>
  <c r="M104" i="42" s="1"/>
  <c r="H103" i="42"/>
  <c r="M103" i="42" s="1"/>
  <c r="H102" i="42"/>
  <c r="M102" i="42" s="1"/>
  <c r="H101" i="42"/>
  <c r="M101" i="42" s="1"/>
  <c r="H100" i="42"/>
  <c r="M100" i="42" s="1"/>
  <c r="H99" i="42"/>
  <c r="M99" i="42" s="1"/>
  <c r="H98" i="42"/>
  <c r="M98" i="42" s="1"/>
  <c r="H97" i="42"/>
  <c r="M97" i="42" s="1"/>
  <c r="H96" i="42"/>
  <c r="M96" i="42" s="1"/>
  <c r="H95" i="42"/>
  <c r="M95" i="42" s="1"/>
  <c r="H94" i="42"/>
  <c r="M94" i="42" s="1"/>
  <c r="H92" i="42"/>
  <c r="M92" i="42" s="1"/>
  <c r="H91" i="42"/>
  <c r="M91" i="42" s="1"/>
  <c r="H90" i="42"/>
  <c r="M90" i="42" s="1"/>
  <c r="H89" i="42"/>
  <c r="M89" i="42" s="1"/>
  <c r="H88" i="42"/>
  <c r="M88" i="42" s="1"/>
  <c r="H87" i="42"/>
  <c r="M87" i="42" s="1"/>
  <c r="H86" i="42"/>
  <c r="M86" i="42" s="1"/>
  <c r="H85" i="42"/>
  <c r="M85" i="42" s="1"/>
  <c r="H84" i="42"/>
  <c r="M84" i="42" s="1"/>
  <c r="H83" i="42"/>
  <c r="M83" i="42" s="1"/>
  <c r="H82" i="42"/>
  <c r="M82" i="42" s="1"/>
  <c r="H81" i="42"/>
  <c r="M81" i="42" s="1"/>
  <c r="H80" i="42"/>
  <c r="M80" i="42" s="1"/>
  <c r="H79" i="42"/>
  <c r="M79" i="42" s="1"/>
  <c r="H78" i="42"/>
  <c r="M78" i="42" s="1"/>
  <c r="H77" i="42"/>
  <c r="M77" i="42" s="1"/>
  <c r="H76" i="42"/>
  <c r="M76" i="42" s="1"/>
  <c r="H75" i="42"/>
  <c r="M75" i="42" s="1"/>
  <c r="H74" i="42"/>
  <c r="M74" i="42" s="1"/>
  <c r="H73" i="42"/>
  <c r="M73" i="42" s="1"/>
  <c r="H72" i="42"/>
  <c r="M72" i="42" s="1"/>
  <c r="H71" i="42"/>
  <c r="M71" i="42" s="1"/>
  <c r="H70" i="42"/>
  <c r="M70" i="42" s="1"/>
  <c r="H69" i="42"/>
  <c r="M69" i="42" s="1"/>
  <c r="H68" i="42"/>
  <c r="M68" i="42" s="1"/>
  <c r="H67" i="42"/>
  <c r="M67" i="42" s="1"/>
  <c r="H66" i="42"/>
  <c r="M66" i="42" s="1"/>
  <c r="H65" i="42"/>
  <c r="M65" i="42" s="1"/>
  <c r="H64" i="42"/>
  <c r="M64" i="42" s="1"/>
  <c r="H63" i="42"/>
  <c r="M63" i="42" s="1"/>
  <c r="H62" i="42"/>
  <c r="M62" i="42" s="1"/>
  <c r="H61" i="42"/>
  <c r="M61" i="42" s="1"/>
  <c r="H60" i="42"/>
  <c r="M60" i="42" s="1"/>
  <c r="H59" i="42"/>
  <c r="M59" i="42" s="1"/>
  <c r="H58" i="42"/>
  <c r="M58" i="42" s="1"/>
  <c r="H57" i="42"/>
  <c r="M57" i="42" s="1"/>
  <c r="H56" i="42"/>
  <c r="M56" i="42" s="1"/>
  <c r="H55" i="42"/>
  <c r="M55" i="42" s="1"/>
  <c r="H54" i="42"/>
  <c r="M54" i="42" s="1"/>
  <c r="H53" i="42"/>
  <c r="M53" i="42" s="1"/>
  <c r="H52" i="42"/>
  <c r="M52" i="42" s="1"/>
  <c r="H51" i="42"/>
  <c r="M51" i="42" s="1"/>
  <c r="H50" i="42"/>
  <c r="M50" i="42" s="1"/>
  <c r="H49" i="42"/>
  <c r="M49" i="42" s="1"/>
  <c r="H48" i="42"/>
  <c r="M48" i="42" s="1"/>
  <c r="H47" i="42"/>
  <c r="M47" i="42" s="1"/>
  <c r="H46" i="42"/>
  <c r="M46" i="42" s="1"/>
  <c r="H45" i="42"/>
  <c r="M45" i="42" s="1"/>
  <c r="H44" i="42"/>
  <c r="M44" i="42" s="1"/>
  <c r="H43" i="42"/>
  <c r="M43" i="42" s="1"/>
  <c r="H42" i="42"/>
  <c r="M42" i="42" s="1"/>
  <c r="M31" i="42"/>
  <c r="M30" i="42"/>
  <c r="M29" i="42"/>
  <c r="M28" i="42"/>
  <c r="M40" i="42"/>
  <c r="M39" i="42"/>
  <c r="M38" i="42"/>
  <c r="M37" i="42"/>
  <c r="M36" i="42"/>
  <c r="M35" i="42"/>
  <c r="M34" i="42"/>
  <c r="M33" i="42"/>
  <c r="M32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M27" i="42" s="1"/>
  <c r="M24" i="42"/>
  <c r="M23" i="42"/>
  <c r="M22" i="42"/>
  <c r="M15" i="42"/>
  <c r="H262" i="40"/>
  <c r="H253" i="40"/>
  <c r="H249" i="40"/>
  <c r="H248" i="40"/>
  <c r="G541" i="40"/>
  <c r="G544" i="40" s="1"/>
  <c r="H538" i="40"/>
  <c r="H527" i="40"/>
  <c r="H531" i="40" s="1"/>
  <c r="G527" i="40"/>
  <c r="G529" i="40" s="1"/>
  <c r="H512" i="40"/>
  <c r="H515" i="40" s="1"/>
  <c r="G512" i="40"/>
  <c r="G513" i="40" s="1"/>
  <c r="J119" i="32"/>
  <c r="M119" i="32" s="1"/>
  <c r="G496" i="40"/>
  <c r="H496" i="40"/>
  <c r="J118" i="32"/>
  <c r="M118" i="32" s="1"/>
  <c r="H495" i="40"/>
  <c r="H494" i="40"/>
  <c r="H493" i="40"/>
  <c r="H492" i="40"/>
  <c r="G495" i="40"/>
  <c r="G494" i="40"/>
  <c r="G493" i="40"/>
  <c r="G492" i="40"/>
  <c r="H491" i="40"/>
  <c r="G491" i="40"/>
  <c r="H490" i="40"/>
  <c r="G490" i="40"/>
  <c r="H489" i="40"/>
  <c r="G489" i="40"/>
  <c r="H488" i="40"/>
  <c r="G488" i="40"/>
  <c r="J108" i="32"/>
  <c r="M108" i="32" s="1"/>
  <c r="J117" i="32"/>
  <c r="M117" i="32" s="1"/>
  <c r="J116" i="32"/>
  <c r="M116" i="32" s="1"/>
  <c r="G474" i="40"/>
  <c r="G473" i="40"/>
  <c r="G472" i="40"/>
  <c r="G471" i="40"/>
  <c r="I468" i="40"/>
  <c r="I467" i="40"/>
  <c r="I466" i="40"/>
  <c r="H459" i="40"/>
  <c r="G459" i="40"/>
  <c r="L455" i="40"/>
  <c r="L461" i="40" s="1"/>
  <c r="K455" i="40"/>
  <c r="H458" i="40"/>
  <c r="G458" i="40"/>
  <c r="H457" i="40"/>
  <c r="G457" i="40"/>
  <c r="H456" i="40"/>
  <c r="G456" i="40"/>
  <c r="H455" i="40"/>
  <c r="G455" i="40"/>
  <c r="H454" i="40"/>
  <c r="G454" i="40"/>
  <c r="H451" i="40"/>
  <c r="H450" i="40"/>
  <c r="H449" i="40"/>
  <c r="H448" i="40"/>
  <c r="G448" i="40"/>
  <c r="L447" i="40"/>
  <c r="K447" i="40"/>
  <c r="G442" i="40"/>
  <c r="G451" i="40"/>
  <c r="G450" i="40"/>
  <c r="G449" i="40"/>
  <c r="H447" i="40"/>
  <c r="G447" i="40"/>
  <c r="H446" i="40"/>
  <c r="G446" i="40"/>
  <c r="G441" i="40"/>
  <c r="G430" i="40"/>
  <c r="G416" i="40"/>
  <c r="H416" i="40"/>
  <c r="G415" i="40"/>
  <c r="H415" i="40"/>
  <c r="L414" i="40"/>
  <c r="K414" i="40"/>
  <c r="G414" i="40"/>
  <c r="H414" i="40"/>
  <c r="L403" i="40"/>
  <c r="K403" i="40"/>
  <c r="G403" i="40"/>
  <c r="H403" i="40"/>
  <c r="G402" i="40"/>
  <c r="H402" i="40"/>
  <c r="G401" i="40"/>
  <c r="H401" i="40"/>
  <c r="G400" i="40"/>
  <c r="H400" i="40"/>
  <c r="L399" i="40"/>
  <c r="K399" i="40"/>
  <c r="G399" i="40"/>
  <c r="H399" i="40"/>
  <c r="L398" i="40"/>
  <c r="K398" i="40"/>
  <c r="G398" i="40"/>
  <c r="H398" i="40"/>
  <c r="C390" i="40"/>
  <c r="H413" i="40"/>
  <c r="G413" i="40"/>
  <c r="H412" i="40"/>
  <c r="G412" i="40"/>
  <c r="H411" i="40"/>
  <c r="G411" i="40"/>
  <c r="H410" i="40"/>
  <c r="G410" i="40"/>
  <c r="H409" i="40"/>
  <c r="G409" i="40"/>
  <c r="H408" i="40"/>
  <c r="G408" i="40"/>
  <c r="H407" i="40"/>
  <c r="G407" i="40"/>
  <c r="H406" i="40"/>
  <c r="G406" i="40"/>
  <c r="H397" i="40"/>
  <c r="G397" i="40"/>
  <c r="H396" i="40"/>
  <c r="G396" i="40"/>
  <c r="H394" i="40"/>
  <c r="G394" i="40"/>
  <c r="H393" i="40"/>
  <c r="G393" i="40"/>
  <c r="H392" i="40"/>
  <c r="G392" i="40"/>
  <c r="G388" i="40"/>
  <c r="I378" i="40"/>
  <c r="H373" i="40"/>
  <c r="H376" i="40" s="1"/>
  <c r="G373" i="40"/>
  <c r="G374" i="40" s="1"/>
  <c r="H371" i="40"/>
  <c r="H365" i="40"/>
  <c r="H369" i="40" s="1"/>
  <c r="G365" i="40"/>
  <c r="G367" i="40" s="1"/>
  <c r="C359" i="40"/>
  <c r="F357" i="40"/>
  <c r="F356" i="40"/>
  <c r="F355" i="40"/>
  <c r="F354" i="40"/>
  <c r="F353" i="40"/>
  <c r="F352" i="40"/>
  <c r="F351" i="40"/>
  <c r="F350" i="40"/>
  <c r="F349" i="40"/>
  <c r="G335" i="40"/>
  <c r="G334" i="40"/>
  <c r="G333" i="40"/>
  <c r="G332" i="40"/>
  <c r="G330" i="40"/>
  <c r="G329" i="40"/>
  <c r="G328" i="40"/>
  <c r="G327" i="40"/>
  <c r="G315" i="40"/>
  <c r="H315" i="40"/>
  <c r="H314" i="40"/>
  <c r="G314" i="40"/>
  <c r="H298" i="40"/>
  <c r="G298" i="40"/>
  <c r="H297" i="40"/>
  <c r="G297" i="40"/>
  <c r="H296" i="40"/>
  <c r="G296" i="40"/>
  <c r="H295" i="40"/>
  <c r="G295" i="40"/>
  <c r="I324" i="40"/>
  <c r="H318" i="40"/>
  <c r="H317" i="40"/>
  <c r="H316" i="40"/>
  <c r="H313" i="40"/>
  <c r="H312" i="40"/>
  <c r="H311" i="40"/>
  <c r="H309" i="40"/>
  <c r="H308" i="40"/>
  <c r="H306" i="40"/>
  <c r="H305" i="40"/>
  <c r="H304" i="40"/>
  <c r="H301" i="40"/>
  <c r="H300" i="40"/>
  <c r="H299" i="40"/>
  <c r="H294" i="40"/>
  <c r="H292" i="40"/>
  <c r="H291" i="40"/>
  <c r="H289" i="40"/>
  <c r="H288" i="40"/>
  <c r="H287" i="40"/>
  <c r="G318" i="40"/>
  <c r="G317" i="40"/>
  <c r="G316" i="40"/>
  <c r="G313" i="40"/>
  <c r="G312" i="40"/>
  <c r="G311" i="40"/>
  <c r="G309" i="40"/>
  <c r="G308" i="40"/>
  <c r="G306" i="40"/>
  <c r="G305" i="40"/>
  <c r="G304" i="40"/>
  <c r="G301" i="40"/>
  <c r="G300" i="40"/>
  <c r="G299" i="40"/>
  <c r="G294" i="40"/>
  <c r="G292" i="40"/>
  <c r="G291" i="40"/>
  <c r="G289" i="40"/>
  <c r="G288" i="40"/>
  <c r="G287" i="40"/>
  <c r="G283" i="40"/>
  <c r="G282" i="40"/>
  <c r="G281" i="40"/>
  <c r="G280" i="40"/>
  <c r="G279" i="40"/>
  <c r="G267" i="40"/>
  <c r="G266" i="40"/>
  <c r="G265" i="40"/>
  <c r="H261" i="40"/>
  <c r="H260" i="40"/>
  <c r="G261" i="40"/>
  <c r="G260" i="40"/>
  <c r="J107" i="32"/>
  <c r="M107" i="32" s="1"/>
  <c r="H106" i="41"/>
  <c r="K106" i="41" s="1"/>
  <c r="H105" i="41"/>
  <c r="K105" i="41" s="1"/>
  <c r="H104" i="41"/>
  <c r="K104" i="41" s="1"/>
  <c r="H103" i="41"/>
  <c r="K103" i="41" s="1"/>
  <c r="H102" i="41"/>
  <c r="K102" i="41" s="1"/>
  <c r="H101" i="41"/>
  <c r="K101" i="41" s="1"/>
  <c r="H100" i="41"/>
  <c r="K100" i="41" s="1"/>
  <c r="H99" i="41"/>
  <c r="K99" i="41" s="1"/>
  <c r="H98" i="41"/>
  <c r="K98" i="41" s="1"/>
  <c r="H97" i="41"/>
  <c r="K97" i="41" s="1"/>
  <c r="H96" i="41"/>
  <c r="K96" i="41" s="1"/>
  <c r="H95" i="41"/>
  <c r="K95" i="41" s="1"/>
  <c r="H94" i="41"/>
  <c r="K94" i="41" s="1"/>
  <c r="H93" i="41"/>
  <c r="K93" i="41" s="1"/>
  <c r="H92" i="41"/>
  <c r="K92" i="41" s="1"/>
  <c r="H91" i="41"/>
  <c r="K91" i="41" s="1"/>
  <c r="H90" i="41"/>
  <c r="K90" i="41" s="1"/>
  <c r="H89" i="41"/>
  <c r="K89" i="41" s="1"/>
  <c r="H88" i="41"/>
  <c r="K88" i="41" s="1"/>
  <c r="H87" i="41"/>
  <c r="K87" i="41" s="1"/>
  <c r="H86" i="41"/>
  <c r="K86" i="41" s="1"/>
  <c r="H85" i="41"/>
  <c r="K85" i="41" s="1"/>
  <c r="H84" i="41"/>
  <c r="K84" i="41" s="1"/>
  <c r="H83" i="41"/>
  <c r="K83" i="41" s="1"/>
  <c r="H82" i="41"/>
  <c r="K82" i="41" s="1"/>
  <c r="H81" i="41"/>
  <c r="K81" i="41" s="1"/>
  <c r="H80" i="41"/>
  <c r="K80" i="41" s="1"/>
  <c r="H79" i="41"/>
  <c r="K79" i="41" s="1"/>
  <c r="H78" i="41"/>
  <c r="K78" i="41" s="1"/>
  <c r="H77" i="41"/>
  <c r="K77" i="41" s="1"/>
  <c r="H76" i="41"/>
  <c r="K76" i="41" s="1"/>
  <c r="H75" i="41"/>
  <c r="K75" i="41" s="1"/>
  <c r="H74" i="41"/>
  <c r="K74" i="41" s="1"/>
  <c r="C20" i="41"/>
  <c r="H20" i="41" s="1"/>
  <c r="K20" i="41" s="1"/>
  <c r="H73" i="41"/>
  <c r="K73" i="41" s="1"/>
  <c r="H72" i="41"/>
  <c r="K72" i="41" s="1"/>
  <c r="H71" i="41"/>
  <c r="K71" i="41" s="1"/>
  <c r="H70" i="41"/>
  <c r="K70" i="41" s="1"/>
  <c r="H69" i="41"/>
  <c r="K69" i="41" s="1"/>
  <c r="H68" i="41"/>
  <c r="K68" i="41" s="1"/>
  <c r="H67" i="41"/>
  <c r="K67" i="41" s="1"/>
  <c r="H66" i="41"/>
  <c r="K66" i="41" s="1"/>
  <c r="H65" i="41"/>
  <c r="K65" i="41" s="1"/>
  <c r="H64" i="41"/>
  <c r="K64" i="41" s="1"/>
  <c r="H63" i="41"/>
  <c r="K63" i="41" s="1"/>
  <c r="H62" i="41"/>
  <c r="K62" i="41" s="1"/>
  <c r="H61" i="41"/>
  <c r="K61" i="41" s="1"/>
  <c r="H60" i="41"/>
  <c r="K60" i="41" s="1"/>
  <c r="H59" i="41"/>
  <c r="K59" i="41" s="1"/>
  <c r="H58" i="41"/>
  <c r="K58" i="41" s="1"/>
  <c r="H57" i="41"/>
  <c r="K57" i="41" s="1"/>
  <c r="H56" i="41"/>
  <c r="K56" i="41" s="1"/>
  <c r="H55" i="41"/>
  <c r="K55" i="41" s="1"/>
  <c r="H54" i="41"/>
  <c r="K54" i="41" s="1"/>
  <c r="H53" i="41"/>
  <c r="K53" i="41" s="1"/>
  <c r="H52" i="41"/>
  <c r="K52" i="41" s="1"/>
  <c r="H51" i="41"/>
  <c r="K51" i="41" s="1"/>
  <c r="H50" i="41"/>
  <c r="K50" i="41" s="1"/>
  <c r="H49" i="41"/>
  <c r="K49" i="41" s="1"/>
  <c r="H48" i="41"/>
  <c r="K48" i="41" s="1"/>
  <c r="H47" i="41"/>
  <c r="K47" i="41" s="1"/>
  <c r="H46" i="41"/>
  <c r="K46" i="41" s="1"/>
  <c r="H45" i="41"/>
  <c r="K45" i="41" s="1"/>
  <c r="H44" i="41"/>
  <c r="K44" i="41" s="1"/>
  <c r="H43" i="41"/>
  <c r="K43" i="41" s="1"/>
  <c r="H42" i="41"/>
  <c r="K42" i="41" s="1"/>
  <c r="H41" i="41"/>
  <c r="K41" i="41" s="1"/>
  <c r="H40" i="41"/>
  <c r="K40" i="41" s="1"/>
  <c r="H39" i="41"/>
  <c r="K39" i="41" s="1"/>
  <c r="H38" i="41"/>
  <c r="K38" i="41" s="1"/>
  <c r="H37" i="41"/>
  <c r="K37" i="41" s="1"/>
  <c r="H36" i="41"/>
  <c r="K36" i="41" s="1"/>
  <c r="H35" i="41"/>
  <c r="K35" i="41" s="1"/>
  <c r="H34" i="41"/>
  <c r="K34" i="41" s="1"/>
  <c r="H33" i="41"/>
  <c r="K33" i="41" s="1"/>
  <c r="H32" i="41"/>
  <c r="K32" i="41" s="1"/>
  <c r="H31" i="41"/>
  <c r="K31" i="41" s="1"/>
  <c r="H30" i="41"/>
  <c r="K30" i="41" s="1"/>
  <c r="H29" i="41"/>
  <c r="K29" i="41" s="1"/>
  <c r="H28" i="41"/>
  <c r="K28" i="41" s="1"/>
  <c r="H27" i="41"/>
  <c r="K27" i="41" s="1"/>
  <c r="H26" i="41"/>
  <c r="K26" i="41" s="1"/>
  <c r="H25" i="41"/>
  <c r="K25" i="41" s="1"/>
  <c r="H24" i="41"/>
  <c r="K24" i="41" s="1"/>
  <c r="H23" i="41"/>
  <c r="K23" i="41" s="1"/>
  <c r="H22" i="41"/>
  <c r="K22" i="41" s="1"/>
  <c r="H21" i="41"/>
  <c r="K21" i="41" s="1"/>
  <c r="H19" i="41"/>
  <c r="K19" i="41" s="1"/>
  <c r="H18" i="41"/>
  <c r="K18" i="41" s="1"/>
  <c r="H17" i="41"/>
  <c r="K17" i="41" s="1"/>
  <c r="H16" i="41"/>
  <c r="K16" i="41" s="1"/>
  <c r="H15" i="41"/>
  <c r="K15" i="41" s="1"/>
  <c r="H14" i="41"/>
  <c r="K14" i="41" s="1"/>
  <c r="H13" i="41"/>
  <c r="K13" i="41" s="1"/>
  <c r="H12" i="41"/>
  <c r="K12" i="41" s="1"/>
  <c r="H11" i="41"/>
  <c r="K11" i="41" s="1"/>
  <c r="H10" i="41"/>
  <c r="K10" i="41"/>
  <c r="G249" i="40"/>
  <c r="G253" i="40" s="1"/>
  <c r="G248" i="40"/>
  <c r="G239" i="40"/>
  <c r="G238" i="40"/>
  <c r="G237" i="40"/>
  <c r="E230" i="40"/>
  <c r="E229" i="40"/>
  <c r="E228" i="40"/>
  <c r="E227" i="40"/>
  <c r="H210" i="40"/>
  <c r="G218" i="40"/>
  <c r="G217" i="40"/>
  <c r="G216" i="40"/>
  <c r="E210" i="40"/>
  <c r="C210" i="40"/>
  <c r="G210" i="40"/>
  <c r="H195" i="40"/>
  <c r="H199" i="40" s="1"/>
  <c r="F210" i="40"/>
  <c r="D210" i="40"/>
  <c r="G195" i="40"/>
  <c r="G199" i="40" s="1"/>
  <c r="H187" i="40"/>
  <c r="G187" i="40"/>
  <c r="H186" i="40"/>
  <c r="G186" i="40"/>
  <c r="H185" i="40"/>
  <c r="G185" i="40"/>
  <c r="J163" i="32"/>
  <c r="J101" i="32"/>
  <c r="M101" i="32" s="1"/>
  <c r="J100" i="32"/>
  <c r="M100" i="32" s="1"/>
  <c r="J99" i="32"/>
  <c r="M99" i="32" s="1"/>
  <c r="J98" i="32"/>
  <c r="M98" i="32" s="1"/>
  <c r="F176" i="40"/>
  <c r="D176" i="40"/>
  <c r="C176" i="40"/>
  <c r="H144" i="40"/>
  <c r="G144" i="40"/>
  <c r="G136" i="40"/>
  <c r="G137" i="40" s="1"/>
  <c r="E153" i="40" s="1"/>
  <c r="H127" i="40"/>
  <c r="H129" i="40" s="1"/>
  <c r="G127" i="40"/>
  <c r="G129" i="40" s="1"/>
  <c r="D153" i="40" s="1"/>
  <c r="J119" i="40"/>
  <c r="M119" i="40" s="1"/>
  <c r="M121" i="40" s="1"/>
  <c r="B153" i="40" s="1"/>
  <c r="H77" i="40"/>
  <c r="G77" i="40"/>
  <c r="H76" i="40"/>
  <c r="G76" i="40"/>
  <c r="H75" i="40"/>
  <c r="G75" i="40"/>
  <c r="E109" i="40"/>
  <c r="F109" i="40"/>
  <c r="D109" i="40"/>
  <c r="C109" i="40"/>
  <c r="G67" i="40"/>
  <c r="G66" i="40"/>
  <c r="G65" i="40"/>
  <c r="G46" i="40"/>
  <c r="G45" i="40"/>
  <c r="J41" i="40"/>
  <c r="G36" i="40"/>
  <c r="G35" i="40"/>
  <c r="J31" i="40"/>
  <c r="J15" i="40"/>
  <c r="M15" i="40" s="1"/>
  <c r="J14" i="40"/>
  <c r="M14" i="40" s="1"/>
  <c r="J13" i="40"/>
  <c r="M13" i="40" s="1"/>
  <c r="H56" i="40"/>
  <c r="H58" i="40" s="1"/>
  <c r="G56" i="40"/>
  <c r="G58" i="40" s="1"/>
  <c r="D96" i="40" s="1"/>
  <c r="N17" i="43" l="1"/>
  <c r="K21" i="43" s="1"/>
  <c r="N21" i="43" s="1"/>
  <c r="N25" i="43" s="1"/>
  <c r="N28" i="43"/>
  <c r="M83" i="32"/>
  <c r="M120" i="42"/>
  <c r="M127" i="42"/>
  <c r="M115" i="42"/>
  <c r="D116" i="42" s="1"/>
  <c r="H116" i="42" s="1"/>
  <c r="M116" i="42" s="1"/>
  <c r="D208" i="42"/>
  <c r="M208" i="42" s="1"/>
  <c r="M106" i="42"/>
  <c r="M93" i="42"/>
  <c r="M139" i="42"/>
  <c r="M41" i="42"/>
  <c r="G497" i="40"/>
  <c r="H499" i="40"/>
  <c r="G475" i="40"/>
  <c r="G479" i="40" s="1"/>
  <c r="G443" i="40"/>
  <c r="G477" i="40" s="1"/>
  <c r="H463" i="40"/>
  <c r="G432" i="40"/>
  <c r="K461" i="40"/>
  <c r="G461" i="40" s="1"/>
  <c r="K418" i="40"/>
  <c r="G418" i="40" s="1"/>
  <c r="L418" i="40"/>
  <c r="H420" i="40" s="1"/>
  <c r="G434" i="40"/>
  <c r="G337" i="40"/>
  <c r="G341" i="40" s="1"/>
  <c r="F359" i="40"/>
  <c r="G284" i="40"/>
  <c r="G319" i="40"/>
  <c r="H321" i="40"/>
  <c r="G262" i="40"/>
  <c r="G268" i="40"/>
  <c r="G220" i="40"/>
  <c r="G242" i="40"/>
  <c r="E232" i="40"/>
  <c r="M109" i="32"/>
  <c r="M103" i="32"/>
  <c r="K109" i="41"/>
  <c r="G189" i="40"/>
  <c r="H189" i="40"/>
  <c r="H145" i="40"/>
  <c r="G145" i="40"/>
  <c r="F163" i="40" s="1"/>
  <c r="D163" i="40"/>
  <c r="E163" i="40"/>
  <c r="J43" i="40"/>
  <c r="J46" i="40" s="1"/>
  <c r="G78" i="40"/>
  <c r="H78" i="40"/>
  <c r="D86" i="40"/>
  <c r="G68" i="40"/>
  <c r="F50" i="40"/>
  <c r="M18" i="40"/>
  <c r="B86" i="40" s="1"/>
  <c r="J33" i="40"/>
  <c r="J36" i="40" s="1"/>
  <c r="J167" i="32"/>
  <c r="M167" i="32" s="1"/>
  <c r="J166" i="32"/>
  <c r="M166" i="32" s="1"/>
  <c r="M163" i="32"/>
  <c r="J165" i="32"/>
  <c r="M165" i="32" s="1"/>
  <c r="J164" i="32"/>
  <c r="M164" i="32" s="1"/>
  <c r="M162" i="32"/>
  <c r="J160" i="32"/>
  <c r="M160" i="32" s="1"/>
  <c r="J159" i="32"/>
  <c r="M159" i="32" s="1"/>
  <c r="J161" i="32"/>
  <c r="M161" i="32" s="1"/>
  <c r="J158" i="32"/>
  <c r="M158" i="32" s="1"/>
  <c r="J157" i="32"/>
  <c r="M157" i="32" s="1"/>
  <c r="J156" i="32"/>
  <c r="M156" i="32" s="1"/>
  <c r="J155" i="32"/>
  <c r="M155" i="32" s="1"/>
  <c r="H74" i="32"/>
  <c r="M74" i="32" s="1"/>
  <c r="J78" i="32"/>
  <c r="M78" i="32" s="1"/>
  <c r="J77" i="32"/>
  <c r="M77" i="32" s="1"/>
  <c r="J138" i="32"/>
  <c r="M138" i="32" s="1"/>
  <c r="J130" i="32"/>
  <c r="M130" i="32" s="1"/>
  <c r="N27" i="43" l="1"/>
  <c r="N29" i="43"/>
  <c r="N30" i="43"/>
  <c r="G339" i="40"/>
  <c r="F48" i="40"/>
  <c r="C86" i="40" s="1"/>
  <c r="M169" i="32"/>
  <c r="M170" i="32" s="1"/>
  <c r="F153" i="40"/>
  <c r="G153" i="40" s="1"/>
  <c r="G163" i="40"/>
  <c r="F96" i="40"/>
  <c r="F86" i="40"/>
  <c r="E96" i="40"/>
  <c r="E86" i="40"/>
  <c r="M22" i="39"/>
  <c r="M21" i="39"/>
  <c r="M20" i="39"/>
  <c r="J22" i="39"/>
  <c r="J21" i="39"/>
  <c r="J20" i="39"/>
  <c r="M19" i="39"/>
  <c r="M18" i="39"/>
  <c r="H17" i="39"/>
  <c r="M17" i="39" s="1"/>
  <c r="J16" i="39"/>
  <c r="M16" i="39" s="1"/>
  <c r="J15" i="39"/>
  <c r="M15" i="39" s="1"/>
  <c r="J14" i="39"/>
  <c r="M14" i="39" s="1"/>
  <c r="M12" i="39"/>
  <c r="M22" i="38"/>
  <c r="H21" i="38"/>
  <c r="M21" i="38" s="1"/>
  <c r="J20" i="38"/>
  <c r="M20" i="38" s="1"/>
  <c r="M17" i="38"/>
  <c r="H16" i="38"/>
  <c r="M16" i="38" s="1"/>
  <c r="M15" i="38"/>
  <c r="J15" i="38"/>
  <c r="M12" i="38"/>
  <c r="H56" i="32"/>
  <c r="M56" i="32" s="1"/>
  <c r="H55" i="32"/>
  <c r="M55" i="32" s="1"/>
  <c r="H54" i="32"/>
  <c r="M54" i="32" s="1"/>
  <c r="H53" i="32"/>
  <c r="J42" i="32"/>
  <c r="M42" i="32" s="1"/>
  <c r="J41" i="32"/>
  <c r="M41" i="32" s="1"/>
  <c r="J50" i="32"/>
  <c r="M50" i="32" s="1"/>
  <c r="J49" i="32"/>
  <c r="M49" i="32" s="1"/>
  <c r="J48" i="32"/>
  <c r="M48" i="32" s="1"/>
  <c r="J47" i="32"/>
  <c r="M47" i="32" s="1"/>
  <c r="J46" i="32"/>
  <c r="M46" i="32" s="1"/>
  <c r="J45" i="32"/>
  <c r="M45" i="32" s="1"/>
  <c r="H34" i="32"/>
  <c r="M34" i="32" s="1"/>
  <c r="H33" i="32"/>
  <c r="M33" i="32" s="1"/>
  <c r="H32" i="32"/>
  <c r="M32" i="32" s="1"/>
  <c r="H31" i="32"/>
  <c r="M31" i="32" s="1"/>
  <c r="H25" i="32"/>
  <c r="M25" i="32" s="1"/>
  <c r="H19" i="32"/>
  <c r="M19" i="32" s="1"/>
  <c r="H18" i="32"/>
  <c r="M18" i="32" s="1"/>
  <c r="H17" i="32"/>
  <c r="M17" i="32" s="1"/>
  <c r="H14" i="32"/>
  <c r="H13" i="32"/>
  <c r="M13" i="32" s="1"/>
  <c r="H12" i="32"/>
  <c r="M48" i="36"/>
  <c r="M46" i="36"/>
  <c r="M44" i="36"/>
  <c r="M42" i="36"/>
  <c r="M40" i="36"/>
  <c r="M35" i="36"/>
  <c r="M34" i="36"/>
  <c r="M33" i="36"/>
  <c r="M32" i="36"/>
  <c r="D28" i="36"/>
  <c r="H28" i="36" s="1"/>
  <c r="M28" i="36" s="1"/>
  <c r="M24" i="36"/>
  <c r="M23" i="36"/>
  <c r="M22" i="36"/>
  <c r="M21" i="36"/>
  <c r="M25" i="36" s="1"/>
  <c r="M19" i="36"/>
  <c r="M18" i="36"/>
  <c r="M17" i="36"/>
  <c r="M16" i="36"/>
  <c r="M13" i="36"/>
  <c r="M12" i="36"/>
  <c r="M14" i="36" s="1"/>
  <c r="N33" i="43" l="1"/>
  <c r="C96" i="40"/>
  <c r="G96" i="40" s="1"/>
  <c r="M173" i="32"/>
  <c r="G86" i="40"/>
  <c r="M51" i="32"/>
  <c r="M35" i="32"/>
  <c r="M21" i="32"/>
  <c r="M20" i="36"/>
  <c r="J115" i="32" l="1"/>
  <c r="M115" i="32" s="1"/>
  <c r="M121" i="32" s="1"/>
  <c r="H27" i="35" l="1"/>
  <c r="M27" i="35" s="1"/>
  <c r="H22" i="35" l="1"/>
  <c r="M22" i="35" s="1"/>
  <c r="M21" i="35"/>
  <c r="H19" i="35"/>
  <c r="M19" i="35" s="1"/>
  <c r="H17" i="35"/>
  <c r="M17" i="35" s="1"/>
  <c r="H16" i="35"/>
  <c r="M16" i="35" s="1"/>
  <c r="H15" i="35"/>
  <c r="M15" i="35" s="1"/>
  <c r="H14" i="35"/>
  <c r="M14" i="35" s="1"/>
  <c r="H12" i="35"/>
  <c r="M12" i="35" s="1"/>
  <c r="F66" i="33"/>
  <c r="F56" i="33"/>
  <c r="B56" i="33"/>
  <c r="J32" i="34"/>
  <c r="M32" i="34" s="1"/>
  <c r="J31" i="34"/>
  <c r="M31" i="34" s="1"/>
  <c r="J30" i="34"/>
  <c r="M30" i="34" s="1"/>
  <c r="J29" i="34"/>
  <c r="M29" i="34" s="1"/>
  <c r="J28" i="34"/>
  <c r="M28" i="34" s="1"/>
  <c r="J27" i="34"/>
  <c r="M27" i="34" s="1"/>
  <c r="J26" i="34"/>
  <c r="M26" i="34" s="1"/>
  <c r="J25" i="34"/>
  <c r="M25" i="34" s="1"/>
  <c r="J24" i="34"/>
  <c r="M24" i="34" s="1"/>
  <c r="J23" i="34"/>
  <c r="M23" i="34" s="1"/>
  <c r="J22" i="34"/>
  <c r="M22" i="34" s="1"/>
  <c r="J21" i="34"/>
  <c r="M21" i="34" s="1"/>
  <c r="J20" i="34"/>
  <c r="M20" i="34" s="1"/>
  <c r="J19" i="34"/>
  <c r="M19" i="34" s="1"/>
  <c r="J18" i="34"/>
  <c r="M18" i="34" s="1"/>
  <c r="J17" i="34"/>
  <c r="M17" i="34" s="1"/>
  <c r="J16" i="34"/>
  <c r="M16" i="34" s="1"/>
  <c r="J15" i="34"/>
  <c r="M15" i="34" s="1"/>
  <c r="J14" i="34"/>
  <c r="M14" i="34" s="1"/>
  <c r="J13" i="34"/>
  <c r="M13" i="34" s="1"/>
  <c r="J12" i="34"/>
  <c r="M12" i="34" s="1"/>
  <c r="J11" i="34"/>
  <c r="M11" i="34" s="1"/>
  <c r="J45" i="33"/>
  <c r="M45" i="33" s="1"/>
  <c r="J44" i="33"/>
  <c r="M44" i="33" s="1"/>
  <c r="J43" i="33"/>
  <c r="M43" i="33" s="1"/>
  <c r="J41" i="33"/>
  <c r="M41" i="33" s="1"/>
  <c r="J40" i="33"/>
  <c r="M40" i="33" s="1"/>
  <c r="J39" i="33"/>
  <c r="M39" i="33" s="1"/>
  <c r="J38" i="33"/>
  <c r="M38" i="33" s="1"/>
  <c r="J37" i="33"/>
  <c r="M37" i="33" s="1"/>
  <c r="J36" i="33"/>
  <c r="M36" i="33" s="1"/>
  <c r="J35" i="33"/>
  <c r="M35" i="33" s="1"/>
  <c r="J34" i="33"/>
  <c r="M34" i="33" s="1"/>
  <c r="J33" i="33"/>
  <c r="M33" i="33" s="1"/>
  <c r="J32" i="33"/>
  <c r="M32" i="33" s="1"/>
  <c r="J31" i="33"/>
  <c r="M31" i="33" s="1"/>
  <c r="J30" i="33"/>
  <c r="M30" i="33" s="1"/>
  <c r="J29" i="33"/>
  <c r="M29" i="33" s="1"/>
  <c r="J28" i="33"/>
  <c r="M28" i="33" s="1"/>
  <c r="J46" i="33"/>
  <c r="M46" i="33" s="1"/>
  <c r="J42" i="33"/>
  <c r="M42" i="33" s="1"/>
  <c r="J27" i="33"/>
  <c r="M27" i="33" s="1"/>
  <c r="J26" i="33"/>
  <c r="M26" i="33" s="1"/>
  <c r="J25" i="33"/>
  <c r="M25" i="33" s="1"/>
  <c r="M30" i="35" l="1"/>
  <c r="M34" i="34"/>
  <c r="M48" i="33"/>
  <c r="M142" i="32" l="1"/>
  <c r="M134" i="32"/>
  <c r="J148" i="32"/>
  <c r="M148" i="32" s="1"/>
  <c r="M150" i="32" s="1"/>
  <c r="M125" i="32"/>
  <c r="M127" i="32" s="1"/>
  <c r="M73" i="32"/>
  <c r="J92" i="32"/>
  <c r="M92" i="32" s="1"/>
  <c r="H72" i="32"/>
  <c r="M72" i="32" s="1"/>
  <c r="J88" i="32"/>
  <c r="M88" i="32" s="1"/>
  <c r="J89" i="32"/>
  <c r="M89" i="32" s="1"/>
  <c r="J87" i="32"/>
  <c r="M87" i="32" s="1"/>
  <c r="J86" i="32"/>
  <c r="M86" i="32" s="1"/>
  <c r="M69" i="32"/>
  <c r="J17" i="33"/>
  <c r="M17" i="33" s="1"/>
  <c r="J16" i="33"/>
  <c r="M16" i="33" s="1"/>
  <c r="J15" i="33"/>
  <c r="M15" i="33" s="1"/>
  <c r="J14" i="33"/>
  <c r="M14" i="33" s="1"/>
  <c r="J13" i="33"/>
  <c r="M13" i="33" s="1"/>
  <c r="H66" i="32"/>
  <c r="M66" i="32" s="1"/>
  <c r="H65" i="32"/>
  <c r="M65" i="32" s="1"/>
  <c r="H64" i="32"/>
  <c r="M64" i="32" s="1"/>
  <c r="H63" i="32"/>
  <c r="M63" i="32" s="1"/>
  <c r="H62" i="32"/>
  <c r="M62" i="32" s="1"/>
  <c r="J12" i="33"/>
  <c r="M12" i="33" s="1"/>
  <c r="H71" i="32"/>
  <c r="M71" i="32" s="1"/>
  <c r="H61" i="32"/>
  <c r="M61" i="32" s="1"/>
  <c r="M53" i="32"/>
  <c r="M57" i="32" s="1"/>
  <c r="J40" i="32"/>
  <c r="M40" i="32" s="1"/>
  <c r="J39" i="32"/>
  <c r="M39" i="32" s="1"/>
  <c r="J38" i="32"/>
  <c r="M38" i="32" s="1"/>
  <c r="J37" i="32"/>
  <c r="M37" i="32" s="1"/>
  <c r="M14" i="32"/>
  <c r="M12" i="32"/>
  <c r="H23" i="32"/>
  <c r="M23" i="32" s="1"/>
  <c r="M75" i="32" l="1"/>
  <c r="M43" i="32"/>
  <c r="M16" i="32"/>
  <c r="M18" i="33"/>
  <c r="M94" i="32"/>
  <c r="M90" i="32"/>
  <c r="M79" i="32"/>
  <c r="M67" i="32"/>
</calcChain>
</file>

<file path=xl/sharedStrings.xml><?xml version="1.0" encoding="utf-8"?>
<sst xmlns="http://schemas.openxmlformats.org/spreadsheetml/2006/main" count="1911" uniqueCount="578">
  <si>
    <t>QUANTIDADE</t>
  </si>
  <si>
    <t>DESCRIÇÃO</t>
  </si>
  <si>
    <t>ALTURA</t>
  </si>
  <si>
    <t>M2</t>
  </si>
  <si>
    <t>LARGURA</t>
  </si>
  <si>
    <t>ÁREA</t>
  </si>
  <si>
    <t>REPETIÇÃO</t>
  </si>
  <si>
    <t>UNIDADE</t>
  </si>
  <si>
    <t>QUANT. TOTAL</t>
  </si>
  <si>
    <t>(und)</t>
  </si>
  <si>
    <t>(m)</t>
  </si>
  <si>
    <t>(m2)</t>
  </si>
  <si>
    <t>COMPRIMENTO</t>
  </si>
  <si>
    <t>DESC.</t>
  </si>
  <si>
    <t>PESO</t>
  </si>
  <si>
    <t>(kG)</t>
  </si>
  <si>
    <t>UNID</t>
  </si>
  <si>
    <t>OBRA:</t>
  </si>
  <si>
    <t>LOCAL:</t>
  </si>
  <si>
    <t>RUA MONSENHOR FURTADO, 1062 - PORANGABUÇU - FORTALEZA - CE</t>
  </si>
  <si>
    <t>DEMOLIÇÕES</t>
  </si>
  <si>
    <t>PAV. TÉRREO</t>
  </si>
  <si>
    <t>SHOW ROOM A DEMOLIR</t>
  </si>
  <si>
    <t>RETIRADA DE PORTA DE MADEIRA</t>
  </si>
  <si>
    <t>RETIRADA DE TELHA DE ALUMINIO</t>
  </si>
  <si>
    <t>DEMOLIÇÃO DE ALVENARIAS</t>
  </si>
  <si>
    <t>VOL</t>
  </si>
  <si>
    <t>(m3)</t>
  </si>
  <si>
    <t>TOT. DEM. DE ALVENARIAS</t>
  </si>
  <si>
    <t>M3</t>
  </si>
  <si>
    <t>RETIRADA DE LOUÇAS</t>
  </si>
  <si>
    <t>RETIRADA DE METAIS</t>
  </si>
  <si>
    <t>RETIRADA DE FORRO</t>
  </si>
  <si>
    <t>DEMOLIÇÃO DE PISO CERÂMICO SOBRE LASTRO</t>
  </si>
  <si>
    <t>AREAS EXTERNAS</t>
  </si>
  <si>
    <t>RETIRADA DE BLOKRET</t>
  </si>
  <si>
    <t>DEMOLIÇÃO DE PISO MORTO</t>
  </si>
  <si>
    <t>MOVIMENTOS DE TERRA</t>
  </si>
  <si>
    <t>ALT./PROFUND.</t>
  </si>
  <si>
    <t>DATA: ABRIL/2024</t>
  </si>
  <si>
    <t>TOT. RET BLOKRET ESTACION.</t>
  </si>
  <si>
    <t>TOT. RET. JARDINEIRAS</t>
  </si>
  <si>
    <t>TOT. ESCAVAÇÃO MECANIZADA</t>
  </si>
  <si>
    <t>ESCAVAÇÃO MECANIZADA - NIVELAMENTO ALTURA DO PISO</t>
  </si>
  <si>
    <t>TOT. DEM. PAREDE CONCRETO</t>
  </si>
  <si>
    <t>RETIRADA DE MEIO FIO</t>
  </si>
  <si>
    <t>M</t>
  </si>
  <si>
    <t>1º PAVIMENTO</t>
  </si>
  <si>
    <t>DEMOLIÇÃO DE VIGA ELIPTICA DE  CONCRETO ARMADO</t>
  </si>
  <si>
    <t>DEMOLIÇÃO DE PAREDE DE CONTENÇÃO EM  CONCRETO ARMADO</t>
  </si>
  <si>
    <t>TOT. DEM. LAJE CONCRETO</t>
  </si>
  <si>
    <t>DEMOLIÇÃO DE LAJE  EM  CONCRETO ARMADO -L 20</t>
  </si>
  <si>
    <t>TOT. DEM PISO MORTO</t>
  </si>
  <si>
    <t>5º PAVIMENTO</t>
  </si>
  <si>
    <t>DEMOLIÇÃO DE PILARES CIRCULARES  EM CONCRETO ARMADO</t>
  </si>
  <si>
    <t>TOT. DEM. PILARES</t>
  </si>
  <si>
    <t>9º PAVIMENTO</t>
  </si>
  <si>
    <t>DEMOLIÇÃO DAS MARQUISES  EM CONCRETO ARMADO</t>
  </si>
  <si>
    <t>7º PAVIMENTO</t>
  </si>
  <si>
    <t>TOT. DEM. ALV</t>
  </si>
  <si>
    <t>8º PAVIMENTO</t>
  </si>
  <si>
    <t>PAV. TÉRREO - ÁREA EXTERNA</t>
  </si>
  <si>
    <t>PAV. TÉRREO - ESCAVAÇÃO SAPATAS - BLOCO 3</t>
  </si>
  <si>
    <t>SAP 1</t>
  </si>
  <si>
    <t>SAP2</t>
  </si>
  <si>
    <t>SAP 3</t>
  </si>
  <si>
    <t>SAP 4</t>
  </si>
  <si>
    <t>SAP 5</t>
  </si>
  <si>
    <t>SAP 6</t>
  </si>
  <si>
    <t>SAP 7</t>
  </si>
  <si>
    <t>SAP 8</t>
  </si>
  <si>
    <t>SAP 9</t>
  </si>
  <si>
    <t>SAP 10</t>
  </si>
  <si>
    <t>SAP 11</t>
  </si>
  <si>
    <t>SAP 12</t>
  </si>
  <si>
    <t>SAP 13</t>
  </si>
  <si>
    <t>SAP 14</t>
  </si>
  <si>
    <t>SAP 15</t>
  </si>
  <si>
    <t>SAP 16</t>
  </si>
  <si>
    <t>SAP 17</t>
  </si>
  <si>
    <t>SAP 18</t>
  </si>
  <si>
    <t>SAP 19</t>
  </si>
  <si>
    <t>SAP 20</t>
  </si>
  <si>
    <t>SAP 21</t>
  </si>
  <si>
    <t>SAP 22</t>
  </si>
  <si>
    <t>INSTITUTO DE CIÊNCIAS MÉDICAS - ICM</t>
  </si>
  <si>
    <t>CONCRETO MAGRO - SAPATAS - BLOCO 3</t>
  </si>
  <si>
    <t>CALCULO  DE VOLUME DE  REATERRO</t>
  </si>
  <si>
    <t>VOL CINTAS</t>
  </si>
  <si>
    <t>VOL CM</t>
  </si>
  <si>
    <t>VOL REAT</t>
  </si>
  <si>
    <t>TOTAL</t>
  </si>
  <si>
    <t>VOL SAP</t>
  </si>
  <si>
    <t>VOL ESCAVAÇÃO</t>
  </si>
  <si>
    <t>VOL RETIRADA</t>
  </si>
  <si>
    <t>TOT. VOL CONCRETO MAGRO</t>
  </si>
  <si>
    <t>CALCULO  DE VOLUME DE  RETIRADA DE MATERIAL ESCAVADO</t>
  </si>
  <si>
    <t>TOT. ESCAVAÇÃO MANUAL</t>
  </si>
  <si>
    <t>MARQUISES</t>
  </si>
  <si>
    <t>1 PAV</t>
  </si>
  <si>
    <t>FACHADAS</t>
  </si>
  <si>
    <t>MARQUISE 01</t>
  </si>
  <si>
    <t>MARQUISE 02</t>
  </si>
  <si>
    <t>MARQUISE 03</t>
  </si>
  <si>
    <t>FECHAMENTO DE LAJE 01</t>
  </si>
  <si>
    <t>FECHAMENTO DE LAJE 02</t>
  </si>
  <si>
    <t>STEEL DECK</t>
  </si>
  <si>
    <t>TOT. DEM. MARQUISES</t>
  </si>
  <si>
    <t>KG</t>
  </si>
  <si>
    <t>FECHAMENTO ACM</t>
  </si>
  <si>
    <t>RECEPÇÃO</t>
  </si>
  <si>
    <t>STELL DECK PISO</t>
  </si>
  <si>
    <t>PR 2/20</t>
  </si>
  <si>
    <t>TOTAL STEEL DECK</t>
  </si>
  <si>
    <t>TELHA ALUM TRAPEZOIDAL 07MM</t>
  </si>
  <si>
    <t>TOTAL TELHA</t>
  </si>
  <si>
    <t>FORRO</t>
  </si>
  <si>
    <t>TOT. FORRO</t>
  </si>
  <si>
    <t>COBERTA</t>
  </si>
  <si>
    <t>PR 1/12</t>
  </si>
  <si>
    <t>MF-75 ESP 0,80MM</t>
  </si>
  <si>
    <t>PR 2/12</t>
  </si>
  <si>
    <t>RESUMO</t>
  </si>
  <si>
    <t>H111, ESP=1,25MM</t>
  </si>
  <si>
    <t>MF-75MM ESP=  0,80 MM</t>
  </si>
  <si>
    <t>TELHA TRAPEZOIDAL 0,7MM</t>
  </si>
  <si>
    <t>RETIRADA DE ESTRUTURA METALICA</t>
  </si>
  <si>
    <t>TOT. RET FORRO</t>
  </si>
  <si>
    <t>DEMOLIÇÃO DE CONCRETO ARMADO</t>
  </si>
  <si>
    <t>TOT. DEM. DE CONCRETO ARMADO</t>
  </si>
  <si>
    <t>TOT. DEM. PISO CERÂMICO</t>
  </si>
  <si>
    <t>CONTENÇÃO A COMPLETAR</t>
  </si>
  <si>
    <t>COMPLEMENTO DRENAGEM</t>
  </si>
  <si>
    <t>ESTACA BROCA DIAM. 25 CM</t>
  </si>
  <si>
    <t>CONCRETO ARMADO</t>
  </si>
  <si>
    <t>CINTA DE COROAMENTO 25X25 CM</t>
  </si>
  <si>
    <t>FORMA CINTA DE COROAMENTO</t>
  </si>
  <si>
    <t>AÇO CA 60 5.0MM</t>
  </si>
  <si>
    <t>PAREDE DE CONCRETO</t>
  </si>
  <si>
    <t>AÇO CA 50 6.3MM</t>
  </si>
  <si>
    <t>PRANCHA 46/00 - REVISÃO 1</t>
  </si>
  <si>
    <t>PRANCHA 01 DE IMPLANTAÇÃO - ARQUITETURA</t>
  </si>
  <si>
    <t>TUBO KANANET DIAM.=100MM</t>
  </si>
  <si>
    <t>PRANCHA 01 - PROJETO DE DRENAGEM - SOLICITADO NO ITEM 7 DO RELATÓRIO DA CMM</t>
  </si>
  <si>
    <t>CARGA MECANIZADA DE TERRA</t>
  </si>
  <si>
    <t>TRANSPORTE CAMINHAÕ BASCULHANTE C/DMT 10 KM</t>
  </si>
  <si>
    <t>APILOAMENTO DE FUNDO DE VALA</t>
  </si>
  <si>
    <t>TRINCHEIRA DRENANTE COMO DRENO SUB-SUPERFICIAL C/ GEOTÊXTIL NÃO TECIDO 100% POLIÉSTER C/RESISTÊNCIA À TRAÇÃO LONG. Mín. 9kN/m(BIDIM RT-09 ou SIMILAR), INCLUSIVE ENCHIMENTO COM BRITA 3</t>
  </si>
  <si>
    <t>TAMPÃO EM PVC DIAM. 100 MM</t>
  </si>
  <si>
    <t>FILTRO DE AREIA GROSSA - SOB TD E COMPLEMENTO DE VALA</t>
  </si>
  <si>
    <t>VOLUME TD</t>
  </si>
  <si>
    <t>CAMADA DO PAV</t>
  </si>
  <si>
    <t>PRANCHA 19 - CÁLCULO ESTRUTURAL - BL 01</t>
  </si>
  <si>
    <t>PRANCHA 11 - PROJETO DE CÁLCULO ESTRUTURAL - BL 01</t>
  </si>
  <si>
    <t>PROJETO DO SHOW ROOM - PLANTA DE 01 A 03</t>
  </si>
  <si>
    <t>LARGURA/ESP</t>
  </si>
  <si>
    <t>DEMOLIÇÃO DE JARDINEIRA EM ALV</t>
  </si>
  <si>
    <t>RETIRADA DE ENTULHO</t>
  </si>
  <si>
    <t>RETIRADA DE PORTA</t>
  </si>
  <si>
    <t>RETIRADA DE JANELAS</t>
  </si>
  <si>
    <t>TOT. RET. DE PORTAS</t>
  </si>
  <si>
    <t>TOT. RET. JANELAS</t>
  </si>
  <si>
    <t>RETIRADA DE JANELA</t>
  </si>
  <si>
    <t>RETIRADA DE TRAMA METALICA</t>
  </si>
  <si>
    <t>DEMOLIÇÃO DE PISO CERAMICO S/LASTRO</t>
  </si>
  <si>
    <t>TOTAL SEM EMPOLAMENTO</t>
  </si>
  <si>
    <t>EMPOLAMENTO 30%</t>
  </si>
  <si>
    <t>VOLUME TOTAL DE RETIRADA DE ENTULHO</t>
  </si>
  <si>
    <t>ESCAVAÇÃO  MANUAL</t>
  </si>
  <si>
    <t>CALCULO  DE VOLUME DE CONCRETO E FORMA DE BLOCOS</t>
  </si>
  <si>
    <t>PEÇAS</t>
  </si>
  <si>
    <t>A</t>
  </si>
  <si>
    <t>B</t>
  </si>
  <si>
    <t>REP</t>
  </si>
  <si>
    <t>VOL CONC.</t>
  </si>
  <si>
    <t>AREA DE FORMA</t>
  </si>
  <si>
    <t>F3</t>
  </si>
  <si>
    <t>PRANCHA 57 - CÁLCULO ESTRUTURAL</t>
  </si>
  <si>
    <t>F9</t>
  </si>
  <si>
    <t>F14</t>
  </si>
  <si>
    <t>TOT. VOL. ESC.  ESCAVAÇÃO</t>
  </si>
  <si>
    <t>OBS.:</t>
  </si>
  <si>
    <t>DIMENSÕES EM CENTÍMETROS</t>
  </si>
  <si>
    <t>DIGITE SOMENTE NO AMARELO</t>
  </si>
  <si>
    <t>DIMENSÃO h1 É O PRISMA COM 90°</t>
  </si>
  <si>
    <t>NÃO DIGITE NO MARROM</t>
  </si>
  <si>
    <t>FORMULA</t>
  </si>
  <si>
    <t>V=A*B*h1 + 4/3*A1*B1*h2 + A1*h2*b + B1*h2*a + a*b*h2</t>
  </si>
  <si>
    <t>A1 E B1 SÃO RESPECTIVOS BALANÇOS</t>
  </si>
  <si>
    <t xml:space="preserve"> </t>
  </si>
  <si>
    <t>CALCULO DE VOLUME DE SAPATAS RIGIDAS</t>
  </si>
  <si>
    <t>PILAR</t>
  </si>
  <si>
    <t>a (cm)</t>
  </si>
  <si>
    <t>A =</t>
  </si>
  <si>
    <t>b (cm)</t>
  </si>
  <si>
    <t>SAPATA</t>
  </si>
  <si>
    <t>A (cm)</t>
  </si>
  <si>
    <t>VOLUME EM m³=</t>
  </si>
  <si>
    <t>B (cm)</t>
  </si>
  <si>
    <t>h1 (cm)</t>
  </si>
  <si>
    <t>BAL. A1</t>
  </si>
  <si>
    <t>h2 (cm)</t>
  </si>
  <si>
    <t>BAL. B1</t>
  </si>
  <si>
    <t>VT</t>
  </si>
  <si>
    <t>SF3</t>
  </si>
  <si>
    <t>SF9</t>
  </si>
  <si>
    <t>VOL CONCRETO</t>
  </si>
  <si>
    <t>BLOCO F14</t>
  </si>
  <si>
    <t>FORMA</t>
  </si>
  <si>
    <t>VOL. TOTAL</t>
  </si>
  <si>
    <t>CALCULO  DE VOLUME DE CONCRETO MAGRO</t>
  </si>
  <si>
    <t>PAV. TÉRREO - ESCAVAÇÃO SAPATAS - MARQUISES METÁLICAS</t>
  </si>
  <si>
    <t>SPF3</t>
  </si>
  <si>
    <t>SPF9</t>
  </si>
  <si>
    <t>BLF14</t>
  </si>
  <si>
    <t>VOL BL</t>
  </si>
  <si>
    <t>FUNDAÇÕES</t>
  </si>
  <si>
    <t>CA 60</t>
  </si>
  <si>
    <t xml:space="preserve">CA 50 </t>
  </si>
  <si>
    <t>CA 50</t>
  </si>
  <si>
    <t>PEÇA</t>
  </si>
  <si>
    <t>5.0</t>
  </si>
  <si>
    <t>6.3</t>
  </si>
  <si>
    <t>8.0</t>
  </si>
  <si>
    <t>10.0</t>
  </si>
  <si>
    <t>12.5</t>
  </si>
  <si>
    <t>TOT FUNDAÇÕES</t>
  </si>
  <si>
    <t>RESUMO DE ARMADURA</t>
  </si>
  <si>
    <t>SAPATAS E BLOCOS</t>
  </si>
  <si>
    <t>CALCULO  DE VOLUME DE CONCRETO E FORMA DE GOGO DE PILAR</t>
  </si>
  <si>
    <t>GOGO F3</t>
  </si>
  <si>
    <t>GOGO F9</t>
  </si>
  <si>
    <t>GOGO F14</t>
  </si>
  <si>
    <t>VOL GOGO</t>
  </si>
  <si>
    <t>ITEM 2 DO RELATÓRIO</t>
  </si>
  <si>
    <t>MARQUISE RECEPÇÃO</t>
  </si>
  <si>
    <t>MARQUISE DO BLOCO 1 - RUA MONSENHOR FURTADO</t>
  </si>
  <si>
    <t>2.2</t>
  </si>
  <si>
    <t>BL F14</t>
  </si>
  <si>
    <t>PRANCHA 01  E 02 PROJETO DE CÁLCULO ESTRUTURAL - HEPTA BL 03</t>
  </si>
  <si>
    <t>PRANCHA 51 - PROJETO DE CÁLCULO ESTRUTURAL - BL 01</t>
  </si>
  <si>
    <t>DEMOLIÇÃO DE LAJE  EM  CONCRETO ARMADO -L 23</t>
  </si>
  <si>
    <t>2.1</t>
  </si>
  <si>
    <t>DEMOLIÇÃO DE LAJE  EM  CONCRETO ARMADO -L 17</t>
  </si>
  <si>
    <t>1 TETO - BL 01</t>
  </si>
  <si>
    <t>ITEM 4.0</t>
  </si>
  <si>
    <t>EXECUÇÃO LAJE ELEVADA</t>
  </si>
  <si>
    <t>PRANCHA 51</t>
  </si>
  <si>
    <t>1 PAVIMENTO</t>
  </si>
  <si>
    <t>AREA</t>
  </si>
  <si>
    <t>L17</t>
  </si>
  <si>
    <t>LAJES EM CONCRETO ARMADO</t>
  </si>
  <si>
    <t>L23</t>
  </si>
  <si>
    <t>ESP</t>
  </si>
  <si>
    <t>COMP</t>
  </si>
  <si>
    <t>LARG.</t>
  </si>
  <si>
    <t>ESTRUTURA</t>
  </si>
  <si>
    <t>TOT ARMADURA</t>
  </si>
  <si>
    <t>APOIO L23</t>
  </si>
  <si>
    <t>ALVENARIA DE ELEVAÇÃO DE TIJ CERÂMICO 10 CM</t>
  </si>
  <si>
    <t>LAJES PREMOLDADA TRELIÇADA</t>
  </si>
  <si>
    <t>TELA Q61</t>
  </si>
  <si>
    <t>CINTA DE AMARRAÇÃO 12X20 CM</t>
  </si>
  <si>
    <t>COMP TOTAL</t>
  </si>
  <si>
    <t xml:space="preserve"> CAPEAMENTO LAJES TRELIÇADA</t>
  </si>
  <si>
    <t>VOLUME DE CONCRETO SAPATA CORRIDA</t>
  </si>
  <si>
    <t>ESP.</t>
  </si>
  <si>
    <t>LARG</t>
  </si>
  <si>
    <t>PRANCHA 06/40 - ARQUITETURA</t>
  </si>
  <si>
    <t>ENCHIMENTO DO PISO EM CONCRETO LEVE</t>
  </si>
  <si>
    <t>ESTAR MEDICO</t>
  </si>
  <si>
    <t>CORDENAÇÃO RAD.</t>
  </si>
  <si>
    <t>LAUDOS</t>
  </si>
  <si>
    <t>SALA DE REUNIÕES</t>
  </si>
  <si>
    <t>PREPARO E RECUPERAÇÃO</t>
  </si>
  <si>
    <t>POSTO E PREP. MEDICAÇÃO</t>
  </si>
  <si>
    <t>PRESCRIÇÃO MÉDICA</t>
  </si>
  <si>
    <t>SANITÁRIO PACIENTE</t>
  </si>
  <si>
    <t>DML</t>
  </si>
  <si>
    <t>ANTECÂMARA 1</t>
  </si>
  <si>
    <t>ESCADA 01</t>
  </si>
  <si>
    <t>CIRCULAÇÃO</t>
  </si>
  <si>
    <t>SANIT. MASC</t>
  </si>
  <si>
    <t>SANIT. FEM.</t>
  </si>
  <si>
    <t>COPA FUNC.</t>
  </si>
  <si>
    <t>TOMOGRAFIA</t>
  </si>
  <si>
    <t>COMANDO</t>
  </si>
  <si>
    <t>SALA ADM RADIOLOGIA</t>
  </si>
  <si>
    <t>ESTAR FUNCIONÁRIOS</t>
  </si>
  <si>
    <t>REPOUSO</t>
  </si>
  <si>
    <t>BHO REPOUSO</t>
  </si>
  <si>
    <t>UTILIDADES</t>
  </si>
  <si>
    <t>ROUPARIA</t>
  </si>
  <si>
    <t>VEST. FUNC. MASCULINO</t>
  </si>
  <si>
    <t>VEST. FUNC. FEM.</t>
  </si>
  <si>
    <t>MATERIAL E EQUIPAMENTOS</t>
  </si>
  <si>
    <t xml:space="preserve">COPA </t>
  </si>
  <si>
    <t>SALA ADM.</t>
  </si>
  <si>
    <t xml:space="preserve">CIRCULAÇÃO </t>
  </si>
  <si>
    <t>SALA TÉCNICA</t>
  </si>
  <si>
    <t>LAUDO COMANDO IMPRESSÃO</t>
  </si>
  <si>
    <t>VEST. PACIENTE</t>
  </si>
  <si>
    <t>SANIT. PACIENTE</t>
  </si>
  <si>
    <t>CASA DE MAQ. 2</t>
  </si>
  <si>
    <t>GUARDA E PREP. ANÉSTESICOS</t>
  </si>
  <si>
    <t>CASA DE MAQ 1 HEMOD</t>
  </si>
  <si>
    <t>RESIDUOS</t>
  </si>
  <si>
    <t>SANIT FUNC</t>
  </si>
  <si>
    <t>CASA DE MAQ. AR COND.</t>
  </si>
  <si>
    <t>SANIT PCD</t>
  </si>
  <si>
    <t>ANTECÂMARA 3</t>
  </si>
  <si>
    <t>VESTIÁRIO</t>
  </si>
  <si>
    <t>SANITÁRIO PCD</t>
  </si>
  <si>
    <t>RAIO X TL 02</t>
  </si>
  <si>
    <t>CASA DE MAQ RAIO X</t>
  </si>
  <si>
    <t>RAIO X TL 03</t>
  </si>
  <si>
    <t>RAIO X</t>
  </si>
  <si>
    <t>AC</t>
  </si>
  <si>
    <t>AC COND RM/TOMO</t>
  </si>
  <si>
    <t>BANHEIRO PACIENTE</t>
  </si>
  <si>
    <t>TOMOGRAFO</t>
  </si>
  <si>
    <t>SUBESPERA MASC.</t>
  </si>
  <si>
    <t>SUBESPERA FEM.</t>
  </si>
  <si>
    <t>AREA TECNICA</t>
  </si>
  <si>
    <t>RESSONÂNCIA</t>
  </si>
  <si>
    <t>COMADO RM</t>
  </si>
  <si>
    <t>CASA DE MAQUINAS</t>
  </si>
  <si>
    <t>AR CONDICIONADO</t>
  </si>
  <si>
    <t>CENTRAL MANIFOLD</t>
  </si>
  <si>
    <t>CENTRAL AR COMPRIMIDO</t>
  </si>
  <si>
    <t>ANTECÂMARA 2</t>
  </si>
  <si>
    <t>ANAMNESE</t>
  </si>
  <si>
    <t>CONSULTORIO ENF</t>
  </si>
  <si>
    <t>ESCADA 02</t>
  </si>
  <si>
    <t>TOT. VOL ENCHIM. PISO CONCRETO LEVE</t>
  </si>
  <si>
    <t>HALL DE ACESSO</t>
  </si>
  <si>
    <t>ESPERA</t>
  </si>
  <si>
    <t>ESPERA INFANTIL</t>
  </si>
  <si>
    <t>SANITARIO PCD INFANTIL</t>
  </si>
  <si>
    <t xml:space="preserve">HALL </t>
  </si>
  <si>
    <t>PRANCHA 50</t>
  </si>
  <si>
    <t>PRANCHA 50 - PROJETO DE CÁLCULO ESTRUTURAL - BL 01</t>
  </si>
  <si>
    <t>DEMOLIÇÃO DE LAJE  EM  CONCRETO ARMADO -L 17 - ABERTURA TOMADA DE AR DOS VENTILADORES</t>
  </si>
  <si>
    <t>AREA FORMA</t>
  </si>
  <si>
    <t>AÇO CA 50 10.0 MM</t>
  </si>
  <si>
    <t>AÇO CA 50 12.5 MM</t>
  </si>
  <si>
    <t>FURO NO CONCRETO</t>
  </si>
  <si>
    <t>ARMADURA</t>
  </si>
  <si>
    <t>QUANT.</t>
  </si>
  <si>
    <t>ADESIVO ESTRUT.</t>
  </si>
  <si>
    <t>TOTAL VOL CONCRETO</t>
  </si>
  <si>
    <t>TOTAL VOL ADESIVO</t>
  </si>
  <si>
    <t>6.0</t>
  </si>
  <si>
    <t>PRANCHA 58 E 59</t>
  </si>
  <si>
    <t>CANAIS DE VENTILAÇÃO</t>
  </si>
  <si>
    <t>REFORÇO ABERTURA NA LAJE L17</t>
  </si>
  <si>
    <t>QUANTITATIVOS SERVIÇOS EXECUÇÃO CANAIS DE VENTILAÇÃO</t>
  </si>
  <si>
    <t>ESCAV. MANUAL LT1</t>
  </si>
  <si>
    <t>ESCAV. MANUAL LT2</t>
  </si>
  <si>
    <t>ESP/ALTURA</t>
  </si>
  <si>
    <t>TOT VOL. ESC.</t>
  </si>
  <si>
    <t>LT1</t>
  </si>
  <si>
    <t>LF</t>
  </si>
  <si>
    <t>LT</t>
  </si>
  <si>
    <t>PAREDES</t>
  </si>
  <si>
    <t>LT2</t>
  </si>
  <si>
    <t>TOT VOL. CONCRETO</t>
  </si>
  <si>
    <t>TOT. AREA DE FORMA</t>
  </si>
  <si>
    <t>AÇO CA 60 5.0 MM</t>
  </si>
  <si>
    <t>ARM. REFOR.</t>
  </si>
  <si>
    <t>AÇO CA 50 6.3 MM</t>
  </si>
  <si>
    <t>AÇO CA 50 8.0 MM</t>
  </si>
  <si>
    <t>VOLUME EXEC LT1</t>
  </si>
  <si>
    <t>VOLUME EXEC LT2</t>
  </si>
  <si>
    <t>VOLUME TOTAL</t>
  </si>
  <si>
    <t>VOL. REATERRO</t>
  </si>
  <si>
    <t>RETIR. DE MAT. ESCV.</t>
  </si>
  <si>
    <t>7.0</t>
  </si>
  <si>
    <t>REVESTIMENTO DE BARITA PISO E PAREDES NOS AMBIENTES INDICADAS</t>
  </si>
  <si>
    <t>AMBIENTES</t>
  </si>
  <si>
    <t>AREA PISO</t>
  </si>
  <si>
    <t>PERIMETRO</t>
  </si>
  <si>
    <t>AREA PAREDE</t>
  </si>
  <si>
    <t xml:space="preserve">RAIO X </t>
  </si>
  <si>
    <t>RAIO X TL Q 2</t>
  </si>
  <si>
    <t>RAIO X TL Q 3</t>
  </si>
  <si>
    <t>HEMODINAMICA 1</t>
  </si>
  <si>
    <t>HEMODINAMICA 2</t>
  </si>
  <si>
    <t>PET SCAN</t>
  </si>
  <si>
    <t>GAMA CAMARA</t>
  </si>
  <si>
    <t>TOMOGRAFO 1</t>
  </si>
  <si>
    <t>TOMOGRAFO 2</t>
  </si>
  <si>
    <t>RESUMO TOTAL</t>
  </si>
  <si>
    <t>1 PAV E 3 PAV - PRANCHA 06 E 14 - ARQUITETURA</t>
  </si>
  <si>
    <t>ADEQUAÇÃO PILARES, ALVENARIA E CINTA  9 E 10 PAV - PRANCHA 47.</t>
  </si>
  <si>
    <t>PILARES</t>
  </si>
  <si>
    <t>ALVENARIA TIJ CER 10 CM</t>
  </si>
  <si>
    <t>CINTA</t>
  </si>
  <si>
    <t>QUANTITATIVOS SERVIÇOS EXECUÇÕ, PILARES E CINTA</t>
  </si>
  <si>
    <t>9.0</t>
  </si>
  <si>
    <t>CISTERNAS PRANCHA 53 E 54</t>
  </si>
  <si>
    <t>QUANTITATIVOS SERVIÇOS EXECUÇÃO CISTERNAS</t>
  </si>
  <si>
    <t xml:space="preserve">ESCAV. MANUAL </t>
  </si>
  <si>
    <t>CONTENÇÃO ESTACA BROCA 30 CM</t>
  </si>
  <si>
    <t>LAJE PISO</t>
  </si>
  <si>
    <t>MONTANTES</t>
  </si>
  <si>
    <t>LF1</t>
  </si>
  <si>
    <t>LF2</t>
  </si>
  <si>
    <t>LT3</t>
  </si>
  <si>
    <t>LT4</t>
  </si>
  <si>
    <t>DESC. VOL</t>
  </si>
  <si>
    <t>DESC. ÁREA</t>
  </si>
  <si>
    <t>AÇO CA 50 12.50 MM</t>
  </si>
  <si>
    <t>AÇO CA 50 16.0 MM</t>
  </si>
  <si>
    <t>VOLUME TOTAL CIST.</t>
  </si>
  <si>
    <t>CISTERNA DE REUSO - PRANCHA 55 E 56</t>
  </si>
  <si>
    <t>QUANTITATIVOS SERVIÇOS EXECUÇÃO CISTERNAS DE REUSO 5 E 6</t>
  </si>
  <si>
    <t>VOL. ESCV.</t>
  </si>
  <si>
    <t>CISTERNA 5</t>
  </si>
  <si>
    <t>PAR</t>
  </si>
  <si>
    <t>CISTERNA 6</t>
  </si>
  <si>
    <t>VOL CISTERNA 5</t>
  </si>
  <si>
    <t>VOL CISTERNA 6</t>
  </si>
  <si>
    <t>PR 19</t>
  </si>
  <si>
    <t>ANEXO 11</t>
  </si>
  <si>
    <t>DEMOLIÇÃO VIGA V18</t>
  </si>
  <si>
    <t>DEMOLIÇÃO LAJES ELEVADORES 1,2,7 E 8</t>
  </si>
  <si>
    <t>QUANTITATIVOS SERVIÇOS EXECUÇÃO VIGAS E PAREDES</t>
  </si>
  <si>
    <t>VIGA 14</t>
  </si>
  <si>
    <t>LAJE</t>
  </si>
  <si>
    <t>VIGA 5</t>
  </si>
  <si>
    <t xml:space="preserve">DEMOLIÇÃO VIGA V14 ELEVADOR </t>
  </si>
  <si>
    <t>AÇO CA 50 20.0 MM</t>
  </si>
  <si>
    <t>VIGA 15 A</t>
  </si>
  <si>
    <t>VIGA 16A</t>
  </si>
  <si>
    <t>VIGA 18 A</t>
  </si>
  <si>
    <t>ANEXO 12</t>
  </si>
  <si>
    <t>DEMOLIÇÃO VIGA V18 - ELEV 3</t>
  </si>
  <si>
    <t>VIGA 18 ELEV 3</t>
  </si>
  <si>
    <t>VIGA 18 ELEV 1,23 E4</t>
  </si>
  <si>
    <t>11.  E 12.</t>
  </si>
  <si>
    <t>PR 66</t>
  </si>
  <si>
    <t>DEM. VIGA V11</t>
  </si>
  <si>
    <t>14.0</t>
  </si>
  <si>
    <t>REPARO DA VIGA V11 - PRANCHA 66</t>
  </si>
  <si>
    <t>QUANTITATIVOS SERVIÇOS EXECUÇÃO VIGA V11</t>
  </si>
  <si>
    <t>VIGA V11</t>
  </si>
  <si>
    <t>15.0</t>
  </si>
  <si>
    <t>DEMOLIÇÃO DA VIGA V25 ANEXO 15</t>
  </si>
  <si>
    <t>QUANTITATIVO APRESENTADO NA ABA DEMOLIÇÃO</t>
  </si>
  <si>
    <t>16.0</t>
  </si>
  <si>
    <t>REFORÇO DOS P2 E P5 - PRANCHA 65</t>
  </si>
  <si>
    <t>QUANTITATIVOS SERVIÇOS EXECUÇÃO, PILARES E CINTA</t>
  </si>
  <si>
    <t>AÇO CA 50 25.0 MM</t>
  </si>
  <si>
    <t>APICOAMENTO</t>
  </si>
  <si>
    <t>VOL DE CONCRETO COMPLEMENTAR E AREA DE FORMA</t>
  </si>
  <si>
    <t>AREA FORM</t>
  </si>
  <si>
    <t>READEQUAÇÃO CAIXAS DOS ELEVADORES 1,2,3,4,7 , 8 , 9 E 10- DETALHE ANEXO 11.0 E 12.0</t>
  </si>
  <si>
    <t>PAISAGISMO</t>
  </si>
  <si>
    <t>CAIXA DE ÁRVORE</t>
  </si>
  <si>
    <t>PROJETOR  RS013 LAMP LED 4W, COR PRETO - 36° 220V - GRADO OU EQUIVALENTE TÉCNICO</t>
  </si>
  <si>
    <t>POSTE PA03 H=3,0 M LED 24, 8W COR PRETO 3000K - GRADO OU EQUIVALENTE TÉCNICO</t>
  </si>
  <si>
    <t>PROJETOR  RE015 LAMP LED 12W, COR PRETO - 24° 127V - GRADO OU EQUIVALENTE TÉCNICO</t>
  </si>
  <si>
    <t>PRANCHA 01/04 IMPLANTAÇÃO</t>
  </si>
  <si>
    <t>PRANCHA 02/04 IMPLANTAÇÃO -PAV TÉRREO</t>
  </si>
  <si>
    <t>PISO PORCELANATO MUNARI CIMENTO EXT 60X60 CM - ELIANE OU EQUIVALENTE TÉCNICO</t>
  </si>
  <si>
    <t>TOTAL PORC MUNARI</t>
  </si>
  <si>
    <t>PISO TÁTIL DIRECIONAL</t>
  </si>
  <si>
    <t>TOTAL PISO TÁTIL DIRECIONAL</t>
  </si>
  <si>
    <t>PISO TÁTIL ALERTA</t>
  </si>
  <si>
    <t>TOTAL PISO TÁTIL ALERTA</t>
  </si>
  <si>
    <t>DEMARCAÇÃO DE PISO</t>
  </si>
  <si>
    <t>RAMPAS</t>
  </si>
  <si>
    <t>PAREDE VEGETAL EM TUBO RETANGULAR DE ALUMINIO 76X38 MM, COMPOSTO DE CHAPA IBALAC LINHA PT 10 MM DE ESP. PESO =25 KG/M2, DUAS CAMADAS DE FILTRO SANTA FÉ  MOPE 700 (0,8500 KG, ESP=6MM, PESO=0,76 KG/M2, LARGURA 2,0 X 20,0 M - 100% POLIÉSTER</t>
  </si>
  <si>
    <t>TOTAL PAREDE VEGETAL</t>
  </si>
  <si>
    <t>GRELHA DE PISO EM CHAPA DE AÇO INOX EXPANDIDA MALHA 20X50MM COD. INOX EXP 20 A</t>
  </si>
  <si>
    <t>SEIXO ROLADO</t>
  </si>
  <si>
    <t>MURETA EM BLOCO DE CONCRETO 9 CM</t>
  </si>
  <si>
    <t xml:space="preserve">CHAPISCO </t>
  </si>
  <si>
    <t>REBOCO</t>
  </si>
  <si>
    <t>RODAPÉ DE GRANITO JUPARANÁ 10 CM</t>
  </si>
  <si>
    <t>CHAPIM DE GRANITO JUPARANÁ 14 CM</t>
  </si>
  <si>
    <t>CAMADA DE REGULARIZAÇÃO</t>
  </si>
  <si>
    <t xml:space="preserve">PRANCHA 03/04 IMPLANTAÇÃO -  1  PAV </t>
  </si>
  <si>
    <t>PORCELANATO CANYON NO 60X60 CM</t>
  </si>
  <si>
    <t>PORCELANATO CANYON AL 60X60 CM</t>
  </si>
  <si>
    <t>CINASITA</t>
  </si>
  <si>
    <t>SEIXO PIAUI</t>
  </si>
  <si>
    <t>BALIZADOR DE EMBUTIR BE008, LAMP LED 7W, COR PRETO 24° 220V</t>
  </si>
  <si>
    <t>PROJETOR RS008, LAMP LED 6W COR PRETO 25° 220V 2700K</t>
  </si>
  <si>
    <t>FITA DE LED 16W/METRO 4000K IP65 SP020 PERFIL SLIM COR PRETO</t>
  </si>
  <si>
    <t xml:space="preserve">PRANCHA 04/04 IMPLANTAÇÃO -  5 PAV </t>
  </si>
  <si>
    <t>ARANDELA AS46, 2 X LAMP LED 7 W</t>
  </si>
  <si>
    <t>DUTO DE VENTILAÇÃO EM TUBO AÇO INOX DIAM.50 CM</t>
  </si>
  <si>
    <t>DUTO DE VENTILAÇÃO EM TUBO AÇO INOX DIAM.40 CM</t>
  </si>
  <si>
    <t>DUTO DE VENTILAÇÃO EM TUBO AÇO INOX DIAM.30 CM</t>
  </si>
  <si>
    <t>PERGOLADO EM MADEIRA MAÇANRADUBA</t>
  </si>
  <si>
    <t>APLICAÇÃO DE OSMOCOLOR</t>
  </si>
  <si>
    <t>ESCAVAÇÃO MANUAL</t>
  </si>
  <si>
    <t>MEIO FIO PREMOLDADO</t>
  </si>
  <si>
    <t>TERRA VEGETAL - ADUBO</t>
  </si>
  <si>
    <t>MEIO FIO - ARREMATE</t>
  </si>
  <si>
    <t>BANCO</t>
  </si>
  <si>
    <t>ALVENARIA  DE BLOCO DE CONCRETO 19 CM</t>
  </si>
  <si>
    <t>COLCHÃO DE AREIA GROSSA</t>
  </si>
  <si>
    <t>TERRA VEGETAL</t>
  </si>
  <si>
    <t>CHAPISCO</t>
  </si>
  <si>
    <t>EMBOÇO</t>
  </si>
  <si>
    <t>REVESTIMENTO ECOWOOD PORTINARI FREJÓ 15X90 CM</t>
  </si>
  <si>
    <t>GUARDA-CORPO EM ALUMINIO E VIDRO AL=1,10 M</t>
  </si>
  <si>
    <t>JARDINEIRAS</t>
  </si>
  <si>
    <t>ALVENARIA  DE BLOCO DE CONCRETO 9 CM</t>
  </si>
  <si>
    <t>TEXTURA ACRILICA</t>
  </si>
  <si>
    <t>PRANCHA 01/04 PLANTIO -  TÉRREO</t>
  </si>
  <si>
    <t>PLUMERIA DO CARIBE - PORTE 3,0 M</t>
  </si>
  <si>
    <t>IPÊ ROSA - PORTE 3,0 M</t>
  </si>
  <si>
    <t>TUMBERGIA  - PORTE 1,0 M</t>
  </si>
  <si>
    <t>MIRINDIBA - PORTE 3,0 M</t>
  </si>
  <si>
    <t>ÁRVORES</t>
  </si>
  <si>
    <t>PALMEIRAS</t>
  </si>
  <si>
    <t>PLYCHOSPERMA - PORTE 3,50 M</t>
  </si>
  <si>
    <t>PALMEIRA IMPERIAL - PORTE 10 M</t>
  </si>
  <si>
    <t>PALMEIRA RABO DE RAPOSA - PORTE 4,50 M</t>
  </si>
  <si>
    <t>ARBUSTOS</t>
  </si>
  <si>
    <t>ESTRELITZA - PORTA 0,60 M</t>
  </si>
  <si>
    <t>IXORA ROSA - PORTE 0,60 M</t>
  </si>
  <si>
    <t>PACAVIRA - PORTE 0,60 M</t>
  </si>
  <si>
    <t>BANANA DE IMBÉ - PORTE 0,60 M</t>
  </si>
  <si>
    <t>FORRAÇÕES</t>
  </si>
  <si>
    <t>GRAMA ESMERALDA - TAPETES</t>
  </si>
  <si>
    <t>DIANELAS - PORTE 0,25 M</t>
  </si>
  <si>
    <t>ABACAXI ROXO - PORTE 0,25 M</t>
  </si>
  <si>
    <t>PRANCHA 02/04 PLANTIO -  1 PAV</t>
  </si>
  <si>
    <t>CHUVEIRINHO - PORTE 0,30 M</t>
  </si>
  <si>
    <t>CRINO RUBIA - PORTE 0,30 M</t>
  </si>
  <si>
    <t>HERBÁCEAS</t>
  </si>
  <si>
    <t>DIANELA - PORTE 0,30 M</t>
  </si>
  <si>
    <t>BRILHANTINA - PORTE 0,15 M</t>
  </si>
  <si>
    <t>PRANCHA 03/04 PLANTIO -  5 PAV</t>
  </si>
  <si>
    <t>MINI FLAMBOYANT - PORTE 3,0 M</t>
  </si>
  <si>
    <t>IXORA ROSA - PORTE 0,80 M</t>
  </si>
  <si>
    <t>FILODENDROM SELCUM- PORTE 1,0 M</t>
  </si>
  <si>
    <t>BRINCO DE PRINCESA - PORTE 1,0 M</t>
  </si>
  <si>
    <t>CAPIM DO TEXAS - PORTE 0,40 M</t>
  </si>
  <si>
    <t>PRANCHA 04/04 PLANTIO -  3 PAV</t>
  </si>
  <si>
    <t>CERÂMICA CANYON WH PLUS   45X45 CM BOLD</t>
  </si>
  <si>
    <t>CERÂMICA  CANYON NO  45X45 CM BOLD</t>
  </si>
  <si>
    <t>MEIO FIO - JARDINS</t>
  </si>
  <si>
    <t>BANCOS</t>
  </si>
  <si>
    <t>TOTAL COMP BANCOS</t>
  </si>
  <si>
    <t>ALVENARIA DE ELEVAÇÃO</t>
  </si>
  <si>
    <t>ASSENTO PREMOLDADO</t>
  </si>
  <si>
    <t>TOTAL CHAPISCO</t>
  </si>
  <si>
    <t>TOTAL EMBOÇO</t>
  </si>
  <si>
    <t>REVESTIMENTO ECOWOOD PORTINARI FREIJO 15X15 CM</t>
  </si>
  <si>
    <t>TOTAL ECOWWOOD</t>
  </si>
  <si>
    <t>BORDA EM GRANITO BORDEAUX</t>
  </si>
  <si>
    <t>RODAPÉ EM GRANITO BORDEAUX ALT=10 CM</t>
  </si>
  <si>
    <t>FITA DE LED</t>
  </si>
  <si>
    <t>TELA GALVANIZADA LOSANGULAR REVESTIDA COM PVC FIO 12 MALHA 50MM COR VERDE FIXADA EM TUBO DE AÇO GALVANIZADO 2" PINTURA COR VERDE</t>
  </si>
  <si>
    <t>DEMOLIÇÃO ALVENARIA MURO EXTERNO QUE FICA NA RUA CORONEL NUNES DE MELO</t>
  </si>
  <si>
    <t>TOT. DEM. MURO EXT</t>
  </si>
  <si>
    <t>PRANCHA 08/24 DETALHE ESTAÇÃO ELEVATÓRIA DE ESGOTO</t>
  </si>
  <si>
    <t>VOL ELEVATÓRIA</t>
  </si>
  <si>
    <t>VOL REATERRO</t>
  </si>
  <si>
    <t>VOL CONCRETO 30 MPA</t>
  </si>
  <si>
    <t>TUBO FG 2 1/2"</t>
  </si>
  <si>
    <t>GRADE METÁLICA</t>
  </si>
  <si>
    <t>TAMPA 0,80 X 0,80 CM</t>
  </si>
  <si>
    <t>ARMADURA CA 60/50</t>
  </si>
  <si>
    <t>MANGUEIRA FLEXIVEL</t>
  </si>
  <si>
    <t>NIPLE DUPLO FG 2'</t>
  </si>
  <si>
    <t>VÁLVULA DE RETENÇÃO 2"</t>
  </si>
  <si>
    <t>REGISTRO GAVETA 2"</t>
  </si>
  <si>
    <t>ADAPTADOR PARA REGISTRO 2"</t>
  </si>
  <si>
    <t>JOELHO 90 GRAUS  FG 2"</t>
  </si>
  <si>
    <t>BOMBA SUBMERSIVEL 0,5 CV</t>
  </si>
  <si>
    <t>QUADRO DE BOMBA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</si>
</sst>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(* #,##0.000_);_(* \(#,##0.000\);_(* &quot;-&quot;??_);_(@_)"/>
    <numFmt numFmtId="167" formatCode="#,##0.0;[Red]#,##0.0"/>
    <numFmt numFmtId="168" formatCode="_(* #,##0.0000_);_(* \(#,##0.0000\);_(* &quot;-&quot;??_);_(@_)"/>
    <numFmt numFmtId="169" formatCode="0.000"/>
    <numFmt numFmtId="170" formatCode="0.0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4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2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24"/>
      <name val="Arial"/>
      <family val="2"/>
    </font>
    <font>
      <b/>
      <i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89">
    <xf numFmtId="0" fontId="0" fillId="0" borderId="0" xfId="0"/>
    <xf numFmtId="0" fontId="13" fillId="2" borderId="6" xfId="6" applyFont="1" applyFill="1" applyBorder="1" applyAlignment="1">
      <alignment horizontal="left" vertical="center"/>
    </xf>
    <xf numFmtId="166" fontId="10" fillId="2" borderId="4" xfId="17" applyNumberFormat="1" applyFont="1" applyFill="1" applyBorder="1" applyAlignment="1">
      <alignment horizontal="center" vertical="center"/>
    </xf>
    <xf numFmtId="164" fontId="10" fillId="2" borderId="4" xfId="17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168" fontId="10" fillId="2" borderId="4" xfId="17" applyNumberFormat="1" applyFont="1" applyFill="1" applyBorder="1" applyAlignment="1">
      <alignment horizontal="center" vertical="center"/>
    </xf>
    <xf numFmtId="164" fontId="9" fillId="2" borderId="5" xfId="17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164" fontId="8" fillId="2" borderId="3" xfId="17" applyFont="1" applyFill="1" applyBorder="1" applyAlignment="1">
      <alignment horizontal="center" vertical="center"/>
    </xf>
    <xf numFmtId="166" fontId="8" fillId="2" borderId="3" xfId="17" applyNumberFormat="1" applyFont="1" applyFill="1" applyBorder="1" applyAlignment="1">
      <alignment horizontal="center" vertical="center"/>
    </xf>
    <xf numFmtId="168" fontId="8" fillId="2" borderId="3" xfId="17" applyNumberFormat="1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" fillId="0" borderId="0" xfId="0" applyFont="1"/>
    <xf numFmtId="0" fontId="5" fillId="0" borderId="0" xfId="2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7" fillId="0" borderId="0" xfId="0" applyFont="1"/>
    <xf numFmtId="166" fontId="8" fillId="2" borderId="2" xfId="17" applyNumberFormat="1" applyFont="1" applyFill="1" applyBorder="1" applyAlignment="1">
      <alignment horizontal="center"/>
    </xf>
    <xf numFmtId="164" fontId="8" fillId="2" borderId="2" xfId="17" applyFont="1" applyFill="1" applyBorder="1" applyAlignment="1">
      <alignment horizontal="center"/>
    </xf>
    <xf numFmtId="0" fontId="8" fillId="2" borderId="2" xfId="6" applyFont="1" applyFill="1" applyBorder="1" applyAlignment="1">
      <alignment horizontal="center"/>
    </xf>
    <xf numFmtId="168" fontId="8" fillId="2" borderId="2" xfId="17" applyNumberFormat="1" applyFont="1" applyFill="1" applyBorder="1" applyAlignment="1">
      <alignment horizontal="center"/>
    </xf>
    <xf numFmtId="0" fontId="14" fillId="0" borderId="0" xfId="0" applyFont="1"/>
    <xf numFmtId="0" fontId="13" fillId="3" borderId="6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horizontal="right" vertical="center"/>
    </xf>
    <xf numFmtId="2" fontId="10" fillId="3" borderId="4" xfId="0" applyNumberFormat="1" applyFont="1" applyFill="1" applyBorder="1" applyAlignment="1">
      <alignment horizontal="right" vertical="center"/>
    </xf>
    <xf numFmtId="167" fontId="10" fillId="3" borderId="4" xfId="8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vertical="center"/>
    </xf>
    <xf numFmtId="4" fontId="11" fillId="2" borderId="5" xfId="8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vertical="center"/>
    </xf>
    <xf numFmtId="4" fontId="11" fillId="2" borderId="7" xfId="0" applyNumberFormat="1" applyFont="1" applyFill="1" applyBorder="1" applyAlignment="1">
      <alignment vertical="center"/>
    </xf>
    <xf numFmtId="4" fontId="11" fillId="2" borderId="10" xfId="8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vertical="center"/>
    </xf>
    <xf numFmtId="4" fontId="11" fillId="0" borderId="7" xfId="0" applyNumberFormat="1" applyFont="1" applyBorder="1" applyAlignment="1">
      <alignment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/>
    <xf numFmtId="0" fontId="8" fillId="2" borderId="11" xfId="6" applyFont="1" applyFill="1" applyBorder="1" applyAlignment="1">
      <alignment horizontal="left" vertical="center"/>
    </xf>
    <xf numFmtId="166" fontId="9" fillId="2" borderId="0" xfId="17" applyNumberFormat="1" applyFont="1" applyFill="1" applyBorder="1" applyAlignment="1">
      <alignment horizontal="center"/>
    </xf>
    <xf numFmtId="164" fontId="9" fillId="2" borderId="0" xfId="17" applyFont="1" applyFill="1" applyBorder="1" applyAlignment="1">
      <alignment horizontal="center"/>
    </xf>
    <xf numFmtId="0" fontId="9" fillId="2" borderId="0" xfId="6" applyFont="1" applyFill="1" applyAlignment="1">
      <alignment horizontal="center"/>
    </xf>
    <xf numFmtId="168" fontId="9" fillId="2" borderId="0" xfId="17" applyNumberFormat="1" applyFont="1" applyFill="1" applyBorder="1" applyAlignment="1">
      <alignment horizontal="center"/>
    </xf>
    <xf numFmtId="164" fontId="9" fillId="2" borderId="13" xfId="17" applyFont="1" applyFill="1" applyBorder="1" applyAlignment="1">
      <alignment horizontal="center" vertical="center"/>
    </xf>
    <xf numFmtId="4" fontId="11" fillId="2" borderId="7" xfId="0" applyNumberFormat="1" applyFont="1" applyFill="1" applyBorder="1"/>
    <xf numFmtId="0" fontId="11" fillId="2" borderId="1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" fontId="11" fillId="2" borderId="15" xfId="0" applyNumberFormat="1" applyFont="1" applyFill="1" applyBorder="1" applyAlignment="1">
      <alignment vertical="center"/>
    </xf>
    <xf numFmtId="4" fontId="11" fillId="2" borderId="15" xfId="0" applyNumberFormat="1" applyFont="1" applyFill="1" applyBorder="1"/>
    <xf numFmtId="4" fontId="11" fillId="2" borderId="16" xfId="8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4" fontId="11" fillId="2" borderId="9" xfId="0" applyNumberFormat="1" applyFont="1" applyFill="1" applyBorder="1" applyAlignment="1">
      <alignment vertical="center"/>
    </xf>
    <xf numFmtId="4" fontId="11" fillId="2" borderId="9" xfId="0" applyNumberFormat="1" applyFont="1" applyFill="1" applyBorder="1"/>
    <xf numFmtId="4" fontId="11" fillId="2" borderId="13" xfId="8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4" fontId="11" fillId="0" borderId="9" xfId="0" applyNumberFormat="1" applyFont="1" applyBorder="1" applyAlignment="1">
      <alignment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" fontId="11" fillId="2" borderId="20" xfId="0" applyNumberFormat="1" applyFont="1" applyFill="1" applyBorder="1" applyAlignment="1">
      <alignment vertical="center"/>
    </xf>
    <xf numFmtId="4" fontId="11" fillId="2" borderId="20" xfId="0" applyNumberFormat="1" applyFont="1" applyFill="1" applyBorder="1"/>
    <xf numFmtId="4" fontId="11" fillId="2" borderId="21" xfId="8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4" fontId="11" fillId="2" borderId="20" xfId="0" applyNumberFormat="1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4" fontId="11" fillId="2" borderId="25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center"/>
    </xf>
    <xf numFmtId="4" fontId="11" fillId="2" borderId="28" xfId="0" applyNumberFormat="1" applyFont="1" applyFill="1" applyBorder="1"/>
    <xf numFmtId="4" fontId="11" fillId="2" borderId="29" xfId="8" applyNumberFormat="1" applyFont="1" applyFill="1" applyBorder="1" applyAlignment="1">
      <alignment horizontal="center" vertical="center"/>
    </xf>
    <xf numFmtId="4" fontId="11" fillId="2" borderId="30" xfId="0" applyNumberFormat="1" applyFont="1" applyFill="1" applyBorder="1" applyAlignment="1">
      <alignment vertical="center"/>
    </xf>
    <xf numFmtId="4" fontId="11" fillId="0" borderId="27" xfId="0" applyNumberFormat="1" applyFont="1" applyBorder="1" applyAlignment="1">
      <alignment vertical="center"/>
    </xf>
    <xf numFmtId="4" fontId="11" fillId="2" borderId="31" xfId="0" applyNumberFormat="1" applyFont="1" applyFill="1" applyBorder="1" applyAlignment="1">
      <alignment vertical="center"/>
    </xf>
    <xf numFmtId="4" fontId="8" fillId="2" borderId="27" xfId="0" applyNumberFormat="1" applyFont="1" applyFill="1" applyBorder="1" applyAlignment="1">
      <alignment horizontal="center" vertical="center"/>
    </xf>
    <xf numFmtId="4" fontId="8" fillId="2" borderId="32" xfId="0" applyNumberFormat="1" applyFont="1" applyFill="1" applyBorder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0" borderId="22" xfId="0" applyNumberFormat="1" applyFont="1" applyBorder="1" applyAlignment="1">
      <alignment vertical="center"/>
    </xf>
    <xf numFmtId="4" fontId="11" fillId="0" borderId="28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vertical="center"/>
    </xf>
    <xf numFmtId="4" fontId="8" fillId="2" borderId="15" xfId="0" applyNumberFormat="1" applyFont="1" applyFill="1" applyBorder="1" applyAlignment="1">
      <alignment vertical="center"/>
    </xf>
    <xf numFmtId="4" fontId="8" fillId="2" borderId="15" xfId="0" applyNumberFormat="1" applyFont="1" applyFill="1" applyBorder="1"/>
    <xf numFmtId="4" fontId="8" fillId="2" borderId="16" xfId="8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2" fontId="11" fillId="2" borderId="15" xfId="0" applyNumberFormat="1" applyFont="1" applyFill="1" applyBorder="1" applyAlignment="1">
      <alignment vertical="center"/>
    </xf>
    <xf numFmtId="4" fontId="12" fillId="2" borderId="9" xfId="0" applyNumberFormat="1" applyFont="1" applyFill="1" applyBorder="1"/>
    <xf numFmtId="0" fontId="11" fillId="2" borderId="14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/>
    <xf numFmtId="4" fontId="11" fillId="2" borderId="0" xfId="8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vertical="center"/>
    </xf>
    <xf numFmtId="0" fontId="8" fillId="2" borderId="34" xfId="0" applyFont="1" applyFill="1" applyBorder="1" applyAlignment="1">
      <alignment vertical="center"/>
    </xf>
    <xf numFmtId="4" fontId="11" fillId="2" borderId="27" xfId="0" applyNumberFormat="1" applyFont="1" applyFill="1" applyBorder="1"/>
    <xf numFmtId="2" fontId="11" fillId="2" borderId="9" xfId="0" applyNumberFormat="1" applyFont="1" applyFill="1" applyBorder="1" applyAlignment="1">
      <alignment vertical="center"/>
    </xf>
    <xf numFmtId="0" fontId="12" fillId="2" borderId="9" xfId="0" applyFont="1" applyFill="1" applyBorder="1"/>
    <xf numFmtId="167" fontId="11" fillId="2" borderId="9" xfId="8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vertical="center"/>
    </xf>
    <xf numFmtId="165" fontId="11" fillId="2" borderId="13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horizontal="center" vertical="center"/>
    </xf>
    <xf numFmtId="0" fontId="8" fillId="3" borderId="11" xfId="6" applyFont="1" applyFill="1" applyBorder="1" applyAlignment="1">
      <alignment horizontal="left" vertical="center"/>
    </xf>
    <xf numFmtId="166" fontId="9" fillId="3" borderId="0" xfId="17" applyNumberFormat="1" applyFont="1" applyFill="1" applyBorder="1" applyAlignment="1">
      <alignment horizontal="center"/>
    </xf>
    <xf numFmtId="164" fontId="9" fillId="3" borderId="0" xfId="17" applyFont="1" applyFill="1" applyBorder="1" applyAlignment="1">
      <alignment horizontal="center"/>
    </xf>
    <xf numFmtId="0" fontId="9" fillId="3" borderId="0" xfId="6" applyFont="1" applyFill="1" applyAlignment="1">
      <alignment horizontal="center"/>
    </xf>
    <xf numFmtId="168" fontId="9" fillId="3" borderId="0" xfId="17" applyNumberFormat="1" applyFont="1" applyFill="1" applyBorder="1" applyAlignment="1">
      <alignment horizontal="center"/>
    </xf>
    <xf numFmtId="164" fontId="9" fillId="3" borderId="13" xfId="17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/>
    </xf>
    <xf numFmtId="4" fontId="10" fillId="4" borderId="4" xfId="0" applyNumberFormat="1" applyFont="1" applyFill="1" applyBorder="1" applyAlignment="1">
      <alignment horizontal="right" vertical="center"/>
    </xf>
    <xf numFmtId="2" fontId="10" fillId="4" borderId="4" xfId="0" applyNumberFormat="1" applyFont="1" applyFill="1" applyBorder="1" applyAlignment="1">
      <alignment horizontal="right" vertical="center"/>
    </xf>
    <xf numFmtId="167" fontId="10" fillId="4" borderId="4" xfId="8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2" fontId="8" fillId="3" borderId="36" xfId="0" applyNumberFormat="1" applyFont="1" applyFill="1" applyBorder="1" applyAlignment="1">
      <alignment vertical="center"/>
    </xf>
    <xf numFmtId="0" fontId="12" fillId="3" borderId="36" xfId="0" applyFont="1" applyFill="1" applyBorder="1"/>
    <xf numFmtId="2" fontId="11" fillId="3" borderId="36" xfId="0" applyNumberFormat="1" applyFont="1" applyFill="1" applyBorder="1" applyAlignment="1">
      <alignment vertical="center"/>
    </xf>
    <xf numFmtId="167" fontId="11" fillId="3" borderId="36" xfId="8" applyNumberFormat="1" applyFont="1" applyFill="1" applyBorder="1" applyAlignment="1">
      <alignment horizontal="center" vertical="center"/>
    </xf>
    <xf numFmtId="165" fontId="11" fillId="3" borderId="36" xfId="0" applyNumberFormat="1" applyFont="1" applyFill="1" applyBorder="1" applyAlignment="1">
      <alignment vertical="center"/>
    </xf>
    <xf numFmtId="165" fontId="8" fillId="3" borderId="36" xfId="0" applyNumberFormat="1" applyFont="1" applyFill="1" applyBorder="1" applyAlignment="1">
      <alignment horizontal="center" vertical="center"/>
    </xf>
    <xf numFmtId="165" fontId="8" fillId="3" borderId="37" xfId="0" applyNumberFormat="1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4" fontId="11" fillId="2" borderId="39" xfId="0" applyNumberFormat="1" applyFont="1" applyFill="1" applyBorder="1" applyAlignment="1">
      <alignment vertical="center"/>
    </xf>
    <xf numFmtId="4" fontId="8" fillId="2" borderId="28" xfId="0" applyNumberFormat="1" applyFont="1" applyFill="1" applyBorder="1" applyAlignment="1">
      <alignment horizontal="center" vertical="center"/>
    </xf>
    <xf numFmtId="4" fontId="8" fillId="2" borderId="40" xfId="0" applyNumberFormat="1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4" fontId="11" fillId="2" borderId="28" xfId="0" applyNumberFormat="1" applyFont="1" applyFill="1" applyBorder="1" applyAlignment="1">
      <alignment vertical="center"/>
    </xf>
    <xf numFmtId="4" fontId="11" fillId="2" borderId="2" xfId="0" applyNumberFormat="1" applyFont="1" applyFill="1" applyBorder="1"/>
    <xf numFmtId="4" fontId="11" fillId="2" borderId="8" xfId="0" applyNumberFormat="1" applyFont="1" applyFill="1" applyBorder="1" applyAlignment="1">
      <alignment vertical="center"/>
    </xf>
    <xf numFmtId="4" fontId="8" fillId="2" borderId="9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vertical="center"/>
    </xf>
    <xf numFmtId="0" fontId="11" fillId="2" borderId="41" xfId="0" applyFont="1" applyFill="1" applyBorder="1" applyAlignment="1">
      <alignment vertical="center" wrapText="1"/>
    </xf>
    <xf numFmtId="0" fontId="11" fillId="2" borderId="42" xfId="0" applyFont="1" applyFill="1" applyBorder="1" applyAlignment="1">
      <alignment vertical="center"/>
    </xf>
    <xf numFmtId="4" fontId="11" fillId="2" borderId="42" xfId="0" applyNumberFormat="1" applyFont="1" applyFill="1" applyBorder="1" applyAlignment="1">
      <alignment vertical="center"/>
    </xf>
    <xf numFmtId="4" fontId="11" fillId="2" borderId="42" xfId="0" applyNumberFormat="1" applyFont="1" applyFill="1" applyBorder="1"/>
    <xf numFmtId="4" fontId="11" fillId="2" borderId="43" xfId="8" applyNumberFormat="1" applyFont="1" applyFill="1" applyBorder="1" applyAlignment="1">
      <alignment horizontal="center" vertical="center"/>
    </xf>
    <xf numFmtId="4" fontId="11" fillId="2" borderId="36" xfId="0" applyNumberFormat="1" applyFont="1" applyFill="1" applyBorder="1" applyAlignment="1">
      <alignment vertical="center"/>
    </xf>
    <xf numFmtId="4" fontId="11" fillId="0" borderId="44" xfId="0" applyNumberFormat="1" applyFont="1" applyBorder="1" applyAlignment="1">
      <alignment vertical="center"/>
    </xf>
    <xf numFmtId="4" fontId="11" fillId="2" borderId="42" xfId="0" applyNumberFormat="1" applyFont="1" applyFill="1" applyBorder="1" applyAlignment="1">
      <alignment horizontal="center" vertical="center"/>
    </xf>
    <xf numFmtId="4" fontId="11" fillId="2" borderId="37" xfId="0" applyNumberFormat="1" applyFont="1" applyFill="1" applyBorder="1" applyAlignment="1">
      <alignment vertical="center"/>
    </xf>
    <xf numFmtId="4" fontId="11" fillId="2" borderId="45" xfId="0" applyNumberFormat="1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4" fontId="11" fillId="2" borderId="47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 wrapText="1"/>
    </xf>
    <xf numFmtId="0" fontId="11" fillId="2" borderId="48" xfId="0" applyFont="1" applyFill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4" fontId="8" fillId="2" borderId="49" xfId="0" applyNumberFormat="1" applyFont="1" applyFill="1" applyBorder="1" applyAlignment="1">
      <alignment vertical="center"/>
    </xf>
    <xf numFmtId="4" fontId="11" fillId="0" borderId="4" xfId="0" applyNumberFormat="1" applyFont="1" applyBorder="1" applyAlignment="1">
      <alignment vertical="center"/>
    </xf>
    <xf numFmtId="4" fontId="11" fillId="2" borderId="3" xfId="8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11" fillId="0" borderId="42" xfId="0" applyNumberFormat="1" applyFont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4" fontId="11" fillId="2" borderId="20" xfId="8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vertical="center"/>
    </xf>
    <xf numFmtId="4" fontId="11" fillId="2" borderId="28" xfId="8" applyNumberFormat="1" applyFont="1" applyFill="1" applyBorder="1" applyAlignment="1">
      <alignment horizontal="center" vertical="center"/>
    </xf>
    <xf numFmtId="4" fontId="11" fillId="0" borderId="30" xfId="0" applyNumberFormat="1" applyFont="1" applyBorder="1" applyAlignment="1">
      <alignment vertical="center"/>
    </xf>
    <xf numFmtId="0" fontId="8" fillId="2" borderId="52" xfId="0" applyFont="1" applyFill="1" applyBorder="1" applyAlignment="1">
      <alignment vertical="center"/>
    </xf>
    <xf numFmtId="0" fontId="11" fillId="2" borderId="48" xfId="0" applyFont="1" applyFill="1" applyBorder="1" applyAlignment="1">
      <alignment vertical="center" wrapText="1"/>
    </xf>
    <xf numFmtId="4" fontId="11" fillId="2" borderId="49" xfId="0" applyNumberFormat="1" applyFont="1" applyFill="1" applyBorder="1" applyAlignment="1">
      <alignment vertical="center"/>
    </xf>
    <xf numFmtId="0" fontId="11" fillId="2" borderId="46" xfId="0" applyFont="1" applyFill="1" applyBorder="1" applyAlignment="1">
      <alignment vertical="center"/>
    </xf>
    <xf numFmtId="4" fontId="0" fillId="0" borderId="5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4" fillId="0" borderId="53" xfId="0" applyFont="1" applyBorder="1"/>
    <xf numFmtId="0" fontId="14" fillId="0" borderId="17" xfId="0" applyFont="1" applyBorder="1"/>
    <xf numFmtId="4" fontId="14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14" fillId="0" borderId="0" xfId="0" applyNumberFormat="1" applyFont="1" applyAlignment="1">
      <alignment horizontal="center"/>
    </xf>
    <xf numFmtId="4" fontId="0" fillId="0" borderId="39" xfId="0" applyNumberFormat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4" fontId="11" fillId="0" borderId="5" xfId="0" applyNumberFormat="1" applyFont="1" applyBorder="1" applyAlignment="1">
      <alignment vertical="center"/>
    </xf>
    <xf numFmtId="4" fontId="11" fillId="2" borderId="6" xfId="8" applyNumberFormat="1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horizontal="right" vertical="center"/>
    </xf>
    <xf numFmtId="2" fontId="10" fillId="3" borderId="8" xfId="0" applyNumberFormat="1" applyFont="1" applyFill="1" applyBorder="1" applyAlignment="1">
      <alignment horizontal="right" vertical="center"/>
    </xf>
    <xf numFmtId="167" fontId="10" fillId="3" borderId="8" xfId="8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165" fontId="10" fillId="3" borderId="55" xfId="0" applyNumberFormat="1" applyFont="1" applyFill="1" applyBorder="1" applyAlignment="1">
      <alignment vertical="center"/>
    </xf>
    <xf numFmtId="0" fontId="8" fillId="2" borderId="53" xfId="6" applyFont="1" applyFill="1" applyBorder="1" applyAlignment="1">
      <alignment horizontal="left" vertical="center"/>
    </xf>
    <xf numFmtId="166" fontId="9" fillId="2" borderId="17" xfId="17" applyNumberFormat="1" applyFont="1" applyFill="1" applyBorder="1" applyAlignment="1">
      <alignment horizontal="center"/>
    </xf>
    <xf numFmtId="164" fontId="9" fillId="2" borderId="17" xfId="17" applyFont="1" applyFill="1" applyBorder="1" applyAlignment="1">
      <alignment horizontal="center"/>
    </xf>
    <xf numFmtId="0" fontId="9" fillId="2" borderId="17" xfId="6" applyFont="1" applyFill="1" applyBorder="1" applyAlignment="1">
      <alignment horizontal="center"/>
    </xf>
    <xf numFmtId="168" fontId="9" fillId="2" borderId="17" xfId="17" applyNumberFormat="1" applyFont="1" applyFill="1" applyBorder="1" applyAlignment="1">
      <alignment horizontal="center"/>
    </xf>
    <xf numFmtId="164" fontId="9" fillId="2" borderId="18" xfId="17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4" fontId="11" fillId="4" borderId="27" xfId="0" applyNumberFormat="1" applyFont="1" applyFill="1" applyBorder="1" applyAlignment="1">
      <alignment vertical="center"/>
    </xf>
    <xf numFmtId="4" fontId="11" fillId="4" borderId="27" xfId="0" applyNumberFormat="1" applyFont="1" applyFill="1" applyBorder="1"/>
    <xf numFmtId="4" fontId="11" fillId="4" borderId="29" xfId="8" applyNumberFormat="1" applyFont="1" applyFill="1" applyBorder="1" applyAlignment="1">
      <alignment horizontal="center" vertical="center"/>
    </xf>
    <xf numFmtId="4" fontId="11" fillId="4" borderId="31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horizontal="center" vertical="center"/>
    </xf>
    <xf numFmtId="4" fontId="8" fillId="4" borderId="32" xfId="0" applyNumberFormat="1" applyFont="1" applyFill="1" applyBorder="1" applyAlignment="1">
      <alignment vertical="center"/>
    </xf>
    <xf numFmtId="0" fontId="1" fillId="0" borderId="35" xfId="0" applyFont="1" applyBorder="1"/>
    <xf numFmtId="4" fontId="11" fillId="2" borderId="56" xfId="8" applyNumberFormat="1" applyFont="1" applyFill="1" applyBorder="1" applyAlignment="1">
      <alignment horizontal="center" vertical="center"/>
    </xf>
    <xf numFmtId="4" fontId="11" fillId="0" borderId="21" xfId="0" applyNumberFormat="1" applyFont="1" applyBorder="1" applyAlignment="1">
      <alignment vertical="center"/>
    </xf>
    <xf numFmtId="0" fontId="0" fillId="0" borderId="57" xfId="0" applyBorder="1"/>
    <xf numFmtId="0" fontId="0" fillId="0" borderId="58" xfId="0" applyBorder="1"/>
    <xf numFmtId="4" fontId="11" fillId="2" borderId="28" xfId="0" applyNumberFormat="1" applyFont="1" applyFill="1" applyBorder="1" applyAlignment="1">
      <alignment horizontal="center" vertical="center"/>
    </xf>
    <xf numFmtId="4" fontId="11" fillId="2" borderId="40" xfId="0" applyNumberFormat="1" applyFont="1" applyFill="1" applyBorder="1" applyAlignment="1">
      <alignment vertical="center"/>
    </xf>
    <xf numFmtId="0" fontId="8" fillId="2" borderId="35" xfId="6" applyFont="1" applyFill="1" applyBorder="1" applyAlignment="1">
      <alignment horizontal="left" vertical="center"/>
    </xf>
    <xf numFmtId="0" fontId="1" fillId="0" borderId="53" xfId="0" applyFont="1" applyBorder="1"/>
    <xf numFmtId="4" fontId="11" fillId="2" borderId="22" xfId="8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4" fontId="11" fillId="2" borderId="54" xfId="8" applyNumberFormat="1" applyFont="1" applyFill="1" applyBorder="1" applyAlignment="1">
      <alignment horizontal="center" vertical="center"/>
    </xf>
    <xf numFmtId="4" fontId="11" fillId="2" borderId="60" xfId="0" applyNumberFormat="1" applyFont="1" applyFill="1" applyBorder="1" applyAlignment="1">
      <alignment vertical="center"/>
    </xf>
    <xf numFmtId="4" fontId="11" fillId="2" borderId="61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4" fontId="11" fillId="2" borderId="62" xfId="8" applyNumberFormat="1" applyFont="1" applyFill="1" applyBorder="1" applyAlignment="1">
      <alignment horizontal="center" vertical="center"/>
    </xf>
    <xf numFmtId="4" fontId="11" fillId="2" borderId="63" xfId="0" applyNumberFormat="1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4" fontId="8" fillId="2" borderId="42" xfId="0" applyNumberFormat="1" applyFont="1" applyFill="1" applyBorder="1" applyAlignment="1">
      <alignment horizontal="center" vertical="center"/>
    </xf>
    <xf numFmtId="4" fontId="8" fillId="2" borderId="37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" fontId="8" fillId="2" borderId="45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horizontal="center" vertical="center"/>
    </xf>
    <xf numFmtId="4" fontId="11" fillId="2" borderId="59" xfId="8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47" xfId="0" applyNumberFormat="1" applyFont="1" applyFill="1" applyBorder="1" applyAlignment="1">
      <alignment vertical="center"/>
    </xf>
    <xf numFmtId="4" fontId="11" fillId="2" borderId="33" xfId="0" applyNumberFormat="1" applyFont="1" applyFill="1" applyBorder="1" applyAlignment="1">
      <alignment vertical="center"/>
    </xf>
    <xf numFmtId="4" fontId="11" fillId="0" borderId="64" xfId="0" applyNumberFormat="1" applyFont="1" applyBorder="1" applyAlignment="1">
      <alignment vertical="center"/>
    </xf>
    <xf numFmtId="0" fontId="16" fillId="0" borderId="0" xfId="0" applyFont="1"/>
    <xf numFmtId="0" fontId="16" fillId="0" borderId="53" xfId="0" applyFont="1" applyBorder="1"/>
    <xf numFmtId="0" fontId="0" fillId="0" borderId="17" xfId="0" applyBorder="1"/>
    <xf numFmtId="0" fontId="0" fillId="0" borderId="18" xfId="0" applyBorder="1"/>
    <xf numFmtId="0" fontId="16" fillId="0" borderId="17" xfId="0" applyFont="1" applyBorder="1"/>
    <xf numFmtId="4" fontId="16" fillId="0" borderId="18" xfId="0" applyNumberFormat="1" applyFont="1" applyBorder="1"/>
    <xf numFmtId="4" fontId="11" fillId="2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4" fontId="11" fillId="2" borderId="4" xfId="0" applyNumberFormat="1" applyFont="1" applyFill="1" applyBorder="1"/>
    <xf numFmtId="4" fontId="11" fillId="2" borderId="4" xfId="8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" fontId="11" fillId="2" borderId="22" xfId="0" applyNumberFormat="1" applyFont="1" applyFill="1" applyBorder="1"/>
    <xf numFmtId="4" fontId="11" fillId="2" borderId="22" xfId="0" applyNumberFormat="1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4" fontId="11" fillId="2" borderId="30" xfId="0" applyNumberFormat="1" applyFont="1" applyFill="1" applyBorder="1"/>
    <xf numFmtId="4" fontId="11" fillId="2" borderId="30" xfId="8" applyNumberFormat="1" applyFont="1" applyFill="1" applyBorder="1" applyAlignment="1">
      <alignment horizontal="center" vertical="center"/>
    </xf>
    <xf numFmtId="4" fontId="8" fillId="2" borderId="30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4" fontId="12" fillId="2" borderId="4" xfId="0" applyNumberFormat="1" applyFont="1" applyFill="1" applyBorder="1"/>
    <xf numFmtId="4" fontId="8" fillId="2" borderId="4" xfId="0" applyNumberFormat="1" applyFont="1" applyFill="1" applyBorder="1" applyAlignment="1">
      <alignment vertical="center"/>
    </xf>
    <xf numFmtId="4" fontId="12" fillId="2" borderId="22" xfId="0" applyNumberFormat="1" applyFont="1" applyFill="1" applyBorder="1"/>
    <xf numFmtId="4" fontId="8" fillId="0" borderId="22" xfId="0" applyNumberFormat="1" applyFont="1" applyBorder="1" applyAlignment="1">
      <alignment vertical="center"/>
    </xf>
    <xf numFmtId="4" fontId="8" fillId="2" borderId="22" xfId="0" applyNumberFormat="1" applyFont="1" applyFill="1" applyBorder="1" applyAlignment="1">
      <alignment vertical="center"/>
    </xf>
    <xf numFmtId="4" fontId="11" fillId="2" borderId="36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vertical="center"/>
    </xf>
    <xf numFmtId="4" fontId="11" fillId="2" borderId="6" xfId="0" applyNumberFormat="1" applyFont="1" applyFill="1" applyBorder="1"/>
    <xf numFmtId="4" fontId="17" fillId="2" borderId="4" xfId="0" applyNumberFormat="1" applyFont="1" applyFill="1" applyBorder="1"/>
    <xf numFmtId="2" fontId="11" fillId="2" borderId="22" xfId="0" applyNumberFormat="1" applyFont="1" applyFill="1" applyBorder="1" applyAlignment="1">
      <alignment vertical="center"/>
    </xf>
    <xf numFmtId="4" fontId="12" fillId="2" borderId="30" xfId="0" applyNumberFormat="1" applyFont="1" applyFill="1" applyBorder="1"/>
    <xf numFmtId="4" fontId="8" fillId="0" borderId="30" xfId="0" applyNumberFormat="1" applyFont="1" applyBorder="1" applyAlignment="1">
      <alignment vertical="center"/>
    </xf>
    <xf numFmtId="4" fontId="8" fillId="2" borderId="30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/>
    <xf numFmtId="4" fontId="8" fillId="0" borderId="3" xfId="0" applyNumberFormat="1" applyFont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4" fontId="8" fillId="2" borderId="13" xfId="0" applyNumberFormat="1" applyFont="1" applyFill="1" applyBorder="1" applyAlignment="1">
      <alignment vertical="center"/>
    </xf>
    <xf numFmtId="0" fontId="11" fillId="2" borderId="46" xfId="0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center"/>
    </xf>
    <xf numFmtId="0" fontId="18" fillId="0" borderId="24" xfId="3" applyFont="1" applyBorder="1" applyAlignment="1">
      <alignment vertical="center" wrapText="1"/>
    </xf>
    <xf numFmtId="2" fontId="11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" fontId="8" fillId="2" borderId="7" xfId="0" applyNumberFormat="1" applyFont="1" applyFill="1" applyBorder="1" applyAlignment="1">
      <alignment vertical="center"/>
    </xf>
    <xf numFmtId="4" fontId="8" fillId="2" borderId="7" xfId="0" applyNumberFormat="1" applyFont="1" applyFill="1" applyBorder="1"/>
    <xf numFmtId="4" fontId="8" fillId="2" borderId="10" xfId="8" applyNumberFormat="1" applyFont="1" applyFill="1" applyBorder="1" applyAlignment="1">
      <alignment horizontal="center" vertical="center"/>
    </xf>
    <xf numFmtId="0" fontId="14" fillId="0" borderId="36" xfId="0" applyFont="1" applyBorder="1"/>
    <xf numFmtId="0" fontId="0" fillId="0" borderId="49" xfId="0" applyBorder="1"/>
    <xf numFmtId="0" fontId="14" fillId="0" borderId="65" xfId="0" applyFont="1" applyBorder="1"/>
    <xf numFmtId="0" fontId="14" fillId="0" borderId="65" xfId="0" applyFont="1" applyBorder="1" applyAlignment="1">
      <alignment horizontal="center"/>
    </xf>
    <xf numFmtId="49" fontId="1" fillId="0" borderId="53" xfId="0" applyNumberFormat="1" applyFont="1" applyBorder="1"/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9" fontId="1" fillId="0" borderId="35" xfId="0" applyNumberFormat="1" applyFont="1" applyBorder="1"/>
    <xf numFmtId="4" fontId="0" fillId="0" borderId="49" xfId="0" applyNumberFormat="1" applyBorder="1" applyAlignment="1">
      <alignment horizontal="center"/>
    </xf>
    <xf numFmtId="0" fontId="19" fillId="0" borderId="58" xfId="0" applyFont="1" applyBorder="1"/>
    <xf numFmtId="0" fontId="19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0" borderId="31" xfId="0" applyFont="1" applyBorder="1"/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0" borderId="53" xfId="0" applyFont="1" applyBorder="1"/>
    <xf numFmtId="0" fontId="21" fillId="0" borderId="35" xfId="0" applyFont="1" applyBorder="1"/>
    <xf numFmtId="0" fontId="19" fillId="0" borderId="2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58" xfId="0" applyFont="1" applyBorder="1"/>
    <xf numFmtId="0" fontId="19" fillId="0" borderId="28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19" fillId="0" borderId="53" xfId="0" applyFont="1" applyBorder="1"/>
    <xf numFmtId="0" fontId="19" fillId="0" borderId="17" xfId="0" applyFont="1" applyBorder="1"/>
    <xf numFmtId="0" fontId="19" fillId="0" borderId="16" xfId="0" applyFont="1" applyBorder="1"/>
    <xf numFmtId="4" fontId="23" fillId="0" borderId="18" xfId="0" applyNumberFormat="1" applyFont="1" applyBorder="1"/>
    <xf numFmtId="0" fontId="1" fillId="0" borderId="3" xfId="0" applyFont="1" applyBorder="1"/>
    <xf numFmtId="2" fontId="19" fillId="0" borderId="0" xfId="0" applyNumberFormat="1" applyFont="1"/>
    <xf numFmtId="0" fontId="21" fillId="0" borderId="0" xfId="0" applyFont="1"/>
    <xf numFmtId="49" fontId="14" fillId="0" borderId="53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4" fillId="0" borderId="17" xfId="0" applyNumberFormat="1" applyFont="1" applyBorder="1" applyAlignment="1">
      <alignment horizontal="center"/>
    </xf>
    <xf numFmtId="49" fontId="1" fillId="0" borderId="57" xfId="0" applyNumberFormat="1" applyFont="1" applyBorder="1"/>
    <xf numFmtId="4" fontId="0" fillId="0" borderId="16" xfId="0" applyNumberFormat="1" applyBorder="1" applyAlignment="1">
      <alignment horizontal="center"/>
    </xf>
    <xf numFmtId="0" fontId="0" fillId="3" borderId="35" xfId="0" applyFill="1" applyBorder="1"/>
    <xf numFmtId="0" fontId="14" fillId="3" borderId="36" xfId="0" applyFont="1" applyFill="1" applyBorder="1"/>
    <xf numFmtId="0" fontId="0" fillId="3" borderId="36" xfId="0" applyFill="1" applyBorder="1"/>
    <xf numFmtId="0" fontId="0" fillId="3" borderId="37" xfId="0" applyFill="1" applyBorder="1"/>
    <xf numFmtId="0" fontId="14" fillId="3" borderId="53" xfId="0" applyFont="1" applyFill="1" applyBorder="1"/>
    <xf numFmtId="0" fontId="14" fillId="3" borderId="17" xfId="0" applyFont="1" applyFill="1" applyBorder="1"/>
    <xf numFmtId="2" fontId="14" fillId="3" borderId="18" xfId="0" applyNumberFormat="1" applyFont="1" applyFill="1" applyBorder="1"/>
    <xf numFmtId="0" fontId="14" fillId="3" borderId="18" xfId="0" applyFont="1" applyFill="1" applyBorder="1"/>
    <xf numFmtId="0" fontId="14" fillId="0" borderId="67" xfId="0" applyFont="1" applyBorder="1"/>
    <xf numFmtId="0" fontId="14" fillId="0" borderId="67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1" fillId="0" borderId="12" xfId="0" applyFont="1" applyBorder="1"/>
    <xf numFmtId="3" fontId="0" fillId="0" borderId="66" xfId="0" applyNumberFormat="1" applyBorder="1" applyAlignment="1">
      <alignment horizontal="center"/>
    </xf>
    <xf numFmtId="0" fontId="14" fillId="3" borderId="14" xfId="0" applyFont="1" applyFill="1" applyBorder="1"/>
    <xf numFmtId="0" fontId="14" fillId="3" borderId="1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4" fillId="2" borderId="0" xfId="0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0" xfId="0" applyNumberFormat="1" applyFill="1"/>
    <xf numFmtId="3" fontId="14" fillId="2" borderId="0" xfId="0" applyNumberFormat="1" applyFont="1" applyFill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52" xfId="0" applyFont="1" applyFill="1" applyBorder="1"/>
    <xf numFmtId="4" fontId="14" fillId="3" borderId="68" xfId="0" applyNumberFormat="1" applyFont="1" applyFill="1" applyBorder="1" applyAlignment="1">
      <alignment horizontal="center"/>
    </xf>
    <xf numFmtId="3" fontId="14" fillId="3" borderId="68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4" fillId="0" borderId="35" xfId="0" applyFont="1" applyBorder="1"/>
    <xf numFmtId="0" fontId="14" fillId="3" borderId="35" xfId="0" applyFont="1" applyFill="1" applyBorder="1"/>
    <xf numFmtId="0" fontId="14" fillId="3" borderId="37" xfId="0" applyFont="1" applyFill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" fillId="3" borderId="53" xfId="0" applyFont="1" applyFill="1" applyBorder="1"/>
    <xf numFmtId="0" fontId="11" fillId="3" borderId="17" xfId="0" applyFont="1" applyFill="1" applyBorder="1" applyAlignment="1">
      <alignment vertical="center"/>
    </xf>
    <xf numFmtId="4" fontId="11" fillId="3" borderId="17" xfId="0" applyNumberFormat="1" applyFont="1" applyFill="1" applyBorder="1" applyAlignment="1">
      <alignment vertical="center"/>
    </xf>
    <xf numFmtId="4" fontId="11" fillId="3" borderId="17" xfId="0" applyNumberFormat="1" applyFont="1" applyFill="1" applyBorder="1"/>
    <xf numFmtId="4" fontId="11" fillId="3" borderId="17" xfId="8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vertical="center"/>
    </xf>
    <xf numFmtId="0" fontId="1" fillId="0" borderId="65" xfId="0" applyFont="1" applyBorder="1"/>
    <xf numFmtId="0" fontId="1" fillId="0" borderId="66" xfId="0" applyFont="1" applyBorder="1"/>
    <xf numFmtId="169" fontId="0" fillId="0" borderId="0" xfId="0" applyNumberFormat="1"/>
    <xf numFmtId="2" fontId="0" fillId="0" borderId="0" xfId="0" applyNumberFormat="1"/>
    <xf numFmtId="4" fontId="0" fillId="0" borderId="49" xfId="0" applyNumberFormat="1" applyBorder="1"/>
    <xf numFmtId="169" fontId="1" fillId="0" borderId="17" xfId="0" applyNumberFormat="1" applyFon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169" fontId="0" fillId="0" borderId="3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0" fontId="1" fillId="3" borderId="65" xfId="0" applyFont="1" applyFill="1" applyBorder="1"/>
    <xf numFmtId="169" fontId="14" fillId="3" borderId="36" xfId="0" applyNumberFormat="1" applyFont="1" applyFill="1" applyBorder="1"/>
    <xf numFmtId="169" fontId="0" fillId="3" borderId="36" xfId="0" applyNumberFormat="1" applyFill="1" applyBorder="1"/>
    <xf numFmtId="2" fontId="0" fillId="3" borderId="36" xfId="0" applyNumberFormat="1" applyFill="1" applyBorder="1"/>
    <xf numFmtId="4" fontId="0" fillId="3" borderId="37" xfId="0" applyNumberFormat="1" applyFill="1" applyBorder="1"/>
    <xf numFmtId="0" fontId="1" fillId="0" borderId="0" xfId="0" applyFont="1" applyAlignment="1">
      <alignment horizontal="center"/>
    </xf>
    <xf numFmtId="0" fontId="1" fillId="0" borderId="57" xfId="0" applyFont="1" applyBorder="1"/>
    <xf numFmtId="169" fontId="0" fillId="0" borderId="6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2" fontId="0" fillId="2" borderId="0" xfId="0" applyNumberFormat="1" applyFill="1"/>
    <xf numFmtId="2" fontId="1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4" fillId="2" borderId="0" xfId="0" applyFont="1" applyFill="1"/>
    <xf numFmtId="0" fontId="0" fillId="2" borderId="0" xfId="0" applyFill="1"/>
    <xf numFmtId="169" fontId="0" fillId="3" borderId="37" xfId="0" applyNumberFormat="1" applyFill="1" applyBorder="1"/>
    <xf numFmtId="169" fontId="0" fillId="0" borderId="49" xfId="0" applyNumberFormat="1" applyBorder="1"/>
    <xf numFmtId="169" fontId="1" fillId="0" borderId="18" xfId="0" applyNumberFormat="1" applyFont="1" applyBorder="1" applyAlignment="1">
      <alignment horizontal="center"/>
    </xf>
    <xf numFmtId="169" fontId="0" fillId="0" borderId="37" xfId="0" applyNumberFormat="1" applyBorder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49" xfId="0" applyNumberFormat="1" applyBorder="1" applyAlignment="1">
      <alignment horizontal="center"/>
    </xf>
    <xf numFmtId="169" fontId="14" fillId="0" borderId="37" xfId="0" applyNumberFormat="1" applyFont="1" applyBorder="1" applyAlignment="1">
      <alignment horizontal="center"/>
    </xf>
    <xf numFmtId="169" fontId="1" fillId="0" borderId="53" xfId="0" applyNumberFormat="1" applyFont="1" applyBorder="1" applyAlignment="1">
      <alignment horizontal="center"/>
    </xf>
    <xf numFmtId="169" fontId="0" fillId="0" borderId="35" xfId="0" applyNumberFormat="1" applyBorder="1" applyAlignment="1">
      <alignment horizontal="center"/>
    </xf>
    <xf numFmtId="169" fontId="0" fillId="0" borderId="58" xfId="0" applyNumberFormat="1" applyBorder="1"/>
    <xf numFmtId="169" fontId="0" fillId="0" borderId="31" xfId="0" applyNumberFormat="1" applyBorder="1"/>
    <xf numFmtId="169" fontId="0" fillId="0" borderId="32" xfId="0" applyNumberFormat="1" applyBorder="1"/>
    <xf numFmtId="0" fontId="1" fillId="0" borderId="58" xfId="0" applyFont="1" applyBorder="1"/>
    <xf numFmtId="169" fontId="0" fillId="0" borderId="57" xfId="0" applyNumberForma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70" fontId="11" fillId="2" borderId="7" xfId="0" applyNumberFormat="1" applyFont="1" applyFill="1" applyBorder="1" applyAlignment="1">
      <alignment vertical="center"/>
    </xf>
    <xf numFmtId="0" fontId="14" fillId="0" borderId="66" xfId="0" applyFont="1" applyBorder="1"/>
    <xf numFmtId="2" fontId="14" fillId="0" borderId="36" xfId="0" applyNumberFormat="1" applyFont="1" applyBorder="1" applyAlignment="1">
      <alignment horizontal="center"/>
    </xf>
    <xf numFmtId="4" fontId="1" fillId="0" borderId="37" xfId="0" applyNumberFormat="1" applyFont="1" applyBorder="1" applyAlignment="1">
      <alignment horizontal="center"/>
    </xf>
    <xf numFmtId="4" fontId="1" fillId="3" borderId="37" xfId="0" applyNumberFormat="1" applyFont="1" applyFill="1" applyBorder="1"/>
    <xf numFmtId="4" fontId="1" fillId="3" borderId="37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67" xfId="0" applyFont="1" applyBorder="1"/>
    <xf numFmtId="2" fontId="0" fillId="0" borderId="17" xfId="0" applyNumberForma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169" fontId="14" fillId="0" borderId="31" xfId="0" applyNumberFormat="1" applyFont="1" applyBorder="1"/>
    <xf numFmtId="2" fontId="14" fillId="0" borderId="31" xfId="0" applyNumberFormat="1" applyFont="1" applyBorder="1"/>
    <xf numFmtId="4" fontId="14" fillId="0" borderId="32" xfId="0" applyNumberFormat="1" applyFont="1" applyBorder="1"/>
    <xf numFmtId="4" fontId="14" fillId="0" borderId="32" xfId="0" applyNumberFormat="1" applyFont="1" applyBorder="1" applyAlignment="1">
      <alignment horizontal="center"/>
    </xf>
    <xf numFmtId="4" fontId="1" fillId="0" borderId="32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25" fillId="4" borderId="12" xfId="0" applyFont="1" applyFill="1" applyBorder="1"/>
    <xf numFmtId="169" fontId="24" fillId="4" borderId="36" xfId="0" applyNumberFormat="1" applyFont="1" applyFill="1" applyBorder="1" applyAlignment="1">
      <alignment horizontal="center"/>
    </xf>
    <xf numFmtId="2" fontId="24" fillId="4" borderId="36" xfId="0" applyNumberFormat="1" applyFont="1" applyFill="1" applyBorder="1" applyAlignment="1">
      <alignment horizontal="center"/>
    </xf>
    <xf numFmtId="4" fontId="24" fillId="4" borderId="37" xfId="0" applyNumberFormat="1" applyFont="1" applyFill="1" applyBorder="1" applyAlignment="1">
      <alignment horizontal="center"/>
    </xf>
    <xf numFmtId="4" fontId="25" fillId="4" borderId="37" xfId="0" applyNumberFormat="1" applyFont="1" applyFill="1" applyBorder="1" applyAlignment="1">
      <alignment horizontal="center"/>
    </xf>
    <xf numFmtId="169" fontId="0" fillId="0" borderId="53" xfId="0" applyNumberFormat="1" applyBorder="1" applyAlignment="1">
      <alignment horizontal="center"/>
    </xf>
    <xf numFmtId="4" fontId="24" fillId="4" borderId="49" xfId="0" applyNumberFormat="1" applyFont="1" applyFill="1" applyBorder="1" applyAlignment="1">
      <alignment horizontal="center"/>
    </xf>
    <xf numFmtId="169" fontId="0" fillId="0" borderId="31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169" fontId="24" fillId="4" borderId="0" xfId="0" applyNumberFormat="1" applyFont="1" applyFill="1" applyAlignment="1">
      <alignment horizontal="center"/>
    </xf>
    <xf numFmtId="2" fontId="24" fillId="4" borderId="0" xfId="0" applyNumberFormat="1" applyFont="1" applyFill="1" applyAlignment="1">
      <alignment horizontal="center"/>
    </xf>
    <xf numFmtId="4" fontId="25" fillId="4" borderId="49" xfId="0" applyNumberFormat="1" applyFont="1" applyFill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169" fontId="14" fillId="0" borderId="17" xfId="0" applyNumberFormat="1" applyFont="1" applyBorder="1" applyAlignment="1">
      <alignment horizontal="center"/>
    </xf>
    <xf numFmtId="4" fontId="1" fillId="0" borderId="18" xfId="0" applyNumberFormat="1" applyFont="1" applyBorder="1"/>
    <xf numFmtId="2" fontId="14" fillId="0" borderId="31" xfId="0" applyNumberFormat="1" applyFont="1" applyBorder="1" applyAlignment="1">
      <alignment horizontal="center"/>
    </xf>
    <xf numFmtId="169" fontId="1" fillId="0" borderId="31" xfId="0" applyNumberFormat="1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0" fontId="14" fillId="4" borderId="12" xfId="0" applyFont="1" applyFill="1" applyBorder="1"/>
    <xf numFmtId="169" fontId="0" fillId="4" borderId="17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14" fillId="4" borderId="17" xfId="0" applyNumberFormat="1" applyFon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4" fontId="14" fillId="4" borderId="18" xfId="0" applyNumberFormat="1" applyFont="1" applyFill="1" applyBorder="1" applyAlignment="1">
      <alignment horizontal="center"/>
    </xf>
    <xf numFmtId="0" fontId="14" fillId="4" borderId="67" xfId="0" applyFont="1" applyFill="1" applyBorder="1"/>
    <xf numFmtId="169" fontId="1" fillId="4" borderId="31" xfId="0" applyNumberFormat="1" applyFont="1" applyFill="1" applyBorder="1" applyAlignment="1">
      <alignment horizontal="center"/>
    </xf>
    <xf numFmtId="2" fontId="1" fillId="4" borderId="31" xfId="0" applyNumberFormat="1" applyFont="1" applyFill="1" applyBorder="1" applyAlignment="1">
      <alignment horizontal="center"/>
    </xf>
    <xf numFmtId="4" fontId="14" fillId="4" borderId="32" xfId="0" applyNumberFormat="1" applyFont="1" applyFill="1" applyBorder="1" applyAlignment="1">
      <alignment horizontal="center"/>
    </xf>
    <xf numFmtId="4" fontId="1" fillId="4" borderId="32" xfId="0" applyNumberFormat="1" applyFont="1" applyFill="1" applyBorder="1" applyAlignment="1">
      <alignment horizontal="center"/>
    </xf>
    <xf numFmtId="4" fontId="14" fillId="4" borderId="32" xfId="0" applyNumberFormat="1" applyFont="1" applyFill="1" applyBorder="1"/>
    <xf numFmtId="169" fontId="0" fillId="4" borderId="36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2" fontId="14" fillId="4" borderId="36" xfId="0" applyNumberFormat="1" applyFont="1" applyFill="1" applyBorder="1" applyAlignment="1">
      <alignment horizontal="center"/>
    </xf>
    <xf numFmtId="4" fontId="0" fillId="4" borderId="37" xfId="0" applyNumberFormat="1" applyFill="1" applyBorder="1" applyAlignment="1">
      <alignment horizontal="center"/>
    </xf>
    <xf numFmtId="4" fontId="14" fillId="4" borderId="37" xfId="0" applyNumberFormat="1" applyFont="1" applyFill="1" applyBorder="1" applyAlignment="1">
      <alignment horizontal="center"/>
    </xf>
    <xf numFmtId="0" fontId="0" fillId="0" borderId="53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7" xfId="0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3" borderId="12" xfId="0" applyFont="1" applyFill="1" applyBorder="1"/>
    <xf numFmtId="4" fontId="1" fillId="4" borderId="18" xfId="0" applyNumberFormat="1" applyFont="1" applyFill="1" applyBorder="1" applyAlignment="1">
      <alignment horizontal="center"/>
    </xf>
    <xf numFmtId="4" fontId="1" fillId="4" borderId="37" xfId="0" applyNumberFormat="1" applyFont="1" applyFill="1" applyBorder="1" applyAlignment="1">
      <alignment horizontal="center"/>
    </xf>
    <xf numFmtId="169" fontId="14" fillId="4" borderId="36" xfId="0" applyNumberFormat="1" applyFont="1" applyFill="1" applyBorder="1" applyAlignment="1">
      <alignment horizontal="center"/>
    </xf>
    <xf numFmtId="169" fontId="14" fillId="4" borderId="17" xfId="0" applyNumberFormat="1" applyFont="1" applyFill="1" applyBorder="1" applyAlignment="1">
      <alignment horizontal="center"/>
    </xf>
    <xf numFmtId="0" fontId="14" fillId="4" borderId="53" xfId="0" applyFont="1" applyFill="1" applyBorder="1" applyAlignment="1">
      <alignment wrapText="1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" fillId="0" borderId="65" xfId="0" applyFont="1" applyBorder="1" applyAlignment="1">
      <alignment wrapText="1"/>
    </xf>
    <xf numFmtId="2" fontId="1" fillId="0" borderId="36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14" fillId="0" borderId="58" xfId="0" applyFont="1" applyBorder="1"/>
    <xf numFmtId="4" fontId="11" fillId="2" borderId="42" xfId="0" applyNumberFormat="1" applyFont="1" applyFill="1" applyBorder="1" applyAlignment="1">
      <alignment horizontal="center"/>
    </xf>
    <xf numFmtId="4" fontId="11" fillId="0" borderId="44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4" fontId="11" fillId="2" borderId="37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45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11" fillId="2" borderId="38" xfId="0" applyFont="1" applyFill="1" applyBorder="1" applyAlignment="1">
      <alignment vertical="center" wrapText="1"/>
    </xf>
    <xf numFmtId="0" fontId="8" fillId="2" borderId="2" xfId="6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55" xfId="0" applyNumberFormat="1" applyFont="1" applyFill="1" applyBorder="1" applyAlignment="1">
      <alignment horizontal="center" vertical="center"/>
    </xf>
    <xf numFmtId="4" fontId="8" fillId="2" borderId="40" xfId="0" applyNumberFormat="1" applyFont="1" applyFill="1" applyBorder="1" applyAlignment="1">
      <alignment horizontal="center" vertical="center"/>
    </xf>
    <xf numFmtId="4" fontId="8" fillId="4" borderId="28" xfId="0" applyNumberFormat="1" applyFont="1" applyFill="1" applyBorder="1" applyAlignment="1">
      <alignment horizontal="center" vertical="center"/>
    </xf>
    <xf numFmtId="4" fontId="8" fillId="4" borderId="40" xfId="0" applyNumberFormat="1" applyFont="1" applyFill="1" applyBorder="1" applyAlignment="1">
      <alignment horizontal="center" vertical="center"/>
    </xf>
    <xf numFmtId="4" fontId="8" fillId="4" borderId="27" xfId="0" applyNumberFormat="1" applyFont="1" applyFill="1" applyBorder="1" applyAlignment="1">
      <alignment horizontal="center"/>
    </xf>
    <xf numFmtId="4" fontId="8" fillId="4" borderId="29" xfId="8" applyNumberFormat="1" applyFont="1" applyFill="1" applyBorder="1" applyAlignment="1">
      <alignment horizontal="center" vertical="center"/>
    </xf>
    <xf numFmtId="4" fontId="8" fillId="4" borderId="31" xfId="0" applyNumberFormat="1" applyFont="1" applyFill="1" applyBorder="1" applyAlignment="1">
      <alignment horizontal="center" vertical="center"/>
    </xf>
    <xf numFmtId="4" fontId="8" fillId="4" borderId="30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4" fontId="8" fillId="4" borderId="18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/>
    </xf>
    <xf numFmtId="4" fontId="11" fillId="4" borderId="16" xfId="8" applyNumberFormat="1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/>
    </xf>
    <xf numFmtId="4" fontId="8" fillId="4" borderId="16" xfId="8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8" fillId="2" borderId="49" xfId="0" applyNumberFormat="1" applyFont="1" applyFill="1" applyBorder="1" applyAlignment="1">
      <alignment horizontal="center" vertical="center"/>
    </xf>
    <xf numFmtId="4" fontId="8" fillId="2" borderId="45" xfId="0" applyNumberFormat="1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42" xfId="0" applyNumberFormat="1" applyFont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/>
    </xf>
    <xf numFmtId="0" fontId="8" fillId="2" borderId="9" xfId="6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center" vertical="center"/>
    </xf>
    <xf numFmtId="0" fontId="8" fillId="2" borderId="50" xfId="0" applyFont="1" applyFill="1" applyBorder="1" applyAlignment="1">
      <alignment vertical="center" wrapText="1"/>
    </xf>
    <xf numFmtId="0" fontId="14" fillId="0" borderId="22" xfId="0" applyFont="1" applyBorder="1"/>
    <xf numFmtId="0" fontId="14" fillId="0" borderId="23" xfId="0" applyFont="1" applyBorder="1"/>
    <xf numFmtId="0" fontId="8" fillId="2" borderId="2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164" fontId="8" fillId="2" borderId="2" xfId="17" applyFont="1" applyFill="1" applyBorder="1" applyAlignment="1">
      <alignment horizontal="center" vertical="center" wrapText="1"/>
    </xf>
    <xf numFmtId="164" fontId="8" fillId="2" borderId="9" xfId="17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vertical="center"/>
    </xf>
    <xf numFmtId="4" fontId="11" fillId="2" borderId="55" xfId="8" applyNumberFormat="1" applyFont="1" applyFill="1" applyBorder="1" applyAlignment="1">
      <alignment horizontal="center" vertical="center"/>
    </xf>
    <xf numFmtId="4" fontId="11" fillId="2" borderId="55" xfId="0" applyNumberFormat="1" applyFont="1" applyFill="1" applyBorder="1" applyAlignment="1">
      <alignment vertical="center"/>
    </xf>
    <xf numFmtId="4" fontId="8" fillId="2" borderId="55" xfId="0" applyNumberFormat="1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169" fontId="11" fillId="2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0" fontId="11" fillId="2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0" fontId="11" fillId="2" borderId="9" xfId="0" applyNumberFormat="1" applyFont="1" applyFill="1" applyBorder="1" applyAlignment="1">
      <alignment horizontal="center" vertical="center"/>
    </xf>
    <xf numFmtId="170" fontId="8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vertical="center"/>
    </xf>
    <xf numFmtId="4" fontId="8" fillId="2" borderId="3" xfId="0" applyNumberFormat="1" applyFont="1" applyFill="1" applyBorder="1"/>
    <xf numFmtId="4" fontId="8" fillId="2" borderId="5" xfId="8" applyNumberFormat="1" applyFont="1" applyFill="1" applyBorder="1" applyAlignment="1">
      <alignment horizontal="center" vertical="center"/>
    </xf>
  </cellXfs>
  <cellStyles count="23">
    <cellStyle name="Normal" xfId="0" builtinId="0"/>
    <cellStyle name="Normal 10" xfId="1" xr:uid="{00000000-0005-0000-0000-000001000000}"/>
    <cellStyle name="Normal 10 22" xfId="2" xr:uid="{00000000-0005-0000-0000-000002000000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7 5" xfId="6" xr:uid="{00000000-0005-0000-0000-000006000000}"/>
    <cellStyle name="Porcentagem 2" xfId="7" xr:uid="{00000000-0005-0000-0000-000007000000}"/>
    <cellStyle name="Separador de milhares 2" xfId="8" xr:uid="{00000000-0005-0000-0000-000008000000}"/>
    <cellStyle name="Separador de milhares 2 2" xfId="9" xr:uid="{00000000-0005-0000-0000-000009000000}"/>
    <cellStyle name="Separador de milhares 3" xfId="10" xr:uid="{00000000-0005-0000-0000-00000A000000}"/>
    <cellStyle name="Separador de milhares 3 2" xfId="11" xr:uid="{00000000-0005-0000-0000-00000B000000}"/>
    <cellStyle name="Separador de milhares 5" xfId="12" xr:uid="{00000000-0005-0000-0000-00000C000000}"/>
    <cellStyle name="Separador de milhares 5 2" xfId="13" xr:uid="{00000000-0005-0000-0000-00000D000000}"/>
    <cellStyle name="Separador de milhares 5 2 2" xfId="14" xr:uid="{00000000-0005-0000-0000-00000E000000}"/>
    <cellStyle name="Separador de milhares 5 3" xfId="15" xr:uid="{00000000-0005-0000-0000-00000F000000}"/>
    <cellStyle name="Vírgula 2" xfId="16" xr:uid="{00000000-0005-0000-0000-000011000000}"/>
    <cellStyle name="Vírgula 2 2" xfId="17" xr:uid="{00000000-0005-0000-0000-000012000000}"/>
    <cellStyle name="Vírgula 3" xfId="18" xr:uid="{00000000-0005-0000-0000-000013000000}"/>
    <cellStyle name="Vírgula 3 2" xfId="19" xr:uid="{00000000-0005-0000-0000-000014000000}"/>
    <cellStyle name="Vírgula 4" xfId="20" xr:uid="{00000000-0005-0000-0000-000015000000}"/>
    <cellStyle name="Vírgula 5" xfId="21" xr:uid="{00000000-0005-0000-0000-000016000000}"/>
    <cellStyle name="Vírgula 6" xfId="22" xr:uid="{00000000-0005-0000-0000-000017000000}"/>
  </cellStyles>
  <dxfs count="0"/>
  <tableStyles count="0" defaultTableStyle="TableStyleMedium9" defaultPivotStyle="PivotStyleLight16"/>
  <colors>
    <mruColors>
      <color rgb="FFFFFF66"/>
      <color rgb="FF99FF99"/>
      <color rgb="FFFFCC00"/>
      <color rgb="FFFFFF99"/>
      <color rgb="FF009900"/>
      <color rgb="FF33CC33"/>
      <color rgb="FF009999"/>
      <color rgb="FF00CC66"/>
      <color rgb="FF339966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C633-6A36-474E-AB32-8EDC9F9BE23E}">
  <dimension ref="A2:M173"/>
  <sheetViews>
    <sheetView topLeftCell="A159" workbookViewId="0">
      <selection activeCell="M162" sqref="M162"/>
    </sheetView>
  </sheetViews>
  <sheetFormatPr defaultRowHeight="13.2" x14ac:dyDescent="0.25"/>
  <cols>
    <col min="1" max="1" width="10.77734375" customWidth="1"/>
    <col min="2" max="2" width="36.77734375" customWidth="1"/>
    <col min="3" max="3" width="12.77734375" customWidth="1"/>
    <col min="4" max="4" width="14.77734375" customWidth="1"/>
    <col min="5" max="5" width="12.77734375" customWidth="1"/>
    <col min="7" max="7" width="10.77734375" customWidth="1"/>
  </cols>
  <sheetData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  <c r="F4" s="17"/>
      <c r="G4" s="17"/>
      <c r="H4" s="17"/>
      <c r="I4" s="17"/>
      <c r="J4" s="17"/>
    </row>
    <row r="5" spans="1:13" ht="14.4" x14ac:dyDescent="0.25">
      <c r="B5" s="15"/>
      <c r="C5" s="16"/>
      <c r="D5" s="14"/>
      <c r="E5" s="17"/>
      <c r="F5" s="17"/>
      <c r="G5" s="17"/>
      <c r="H5" s="17"/>
      <c r="I5" s="17"/>
      <c r="J5" s="17"/>
    </row>
    <row r="6" spans="1:13" ht="14.4" x14ac:dyDescent="0.25">
      <c r="B6" s="15" t="s">
        <v>154</v>
      </c>
      <c r="C6" s="16"/>
      <c r="D6" s="14"/>
      <c r="E6" s="17"/>
      <c r="F6" s="17"/>
      <c r="G6" s="17"/>
      <c r="H6" s="17"/>
      <c r="I6" s="17"/>
      <c r="J6" s="17"/>
    </row>
    <row r="7" spans="1:13" ht="15.6" x14ac:dyDescent="0.25">
      <c r="B7" s="1" t="s">
        <v>20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155</v>
      </c>
      <c r="F8" s="9" t="s">
        <v>2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5.6" x14ac:dyDescent="0.25">
      <c r="A10" s="14"/>
      <c r="B10" s="120" t="s">
        <v>21</v>
      </c>
      <c r="C10" s="121"/>
      <c r="D10" s="122"/>
      <c r="E10" s="121"/>
      <c r="F10" s="123"/>
      <c r="G10" s="124"/>
      <c r="H10" s="125"/>
      <c r="I10" s="125"/>
      <c r="J10" s="125"/>
      <c r="K10" s="125"/>
      <c r="L10" s="126"/>
      <c r="M10" s="127"/>
    </row>
    <row r="11" spans="1:13" ht="15" thickBot="1" x14ac:dyDescent="0.35">
      <c r="B11" s="114" t="s">
        <v>22</v>
      </c>
      <c r="C11" s="115"/>
      <c r="D11" s="116"/>
      <c r="E11" s="116"/>
      <c r="F11" s="116"/>
      <c r="G11" s="115"/>
      <c r="H11" s="117"/>
      <c r="I11" s="118"/>
      <c r="J11" s="118"/>
      <c r="K11" s="117"/>
      <c r="L11" s="117"/>
      <c r="M11" s="119"/>
    </row>
    <row r="12" spans="1:13" ht="14.4" x14ac:dyDescent="0.3">
      <c r="B12" s="170" t="s">
        <v>23</v>
      </c>
      <c r="C12" s="255"/>
      <c r="D12" s="70"/>
      <c r="E12" s="256">
        <v>1.65</v>
      </c>
      <c r="F12" s="70">
        <v>2.15</v>
      </c>
      <c r="G12" s="222">
        <v>1</v>
      </c>
      <c r="H12" s="70">
        <f>G12*F12*E12</f>
        <v>3.5474999999999999</v>
      </c>
      <c r="I12" s="86"/>
      <c r="J12" s="86"/>
      <c r="K12" s="70"/>
      <c r="L12" s="257" t="s">
        <v>3</v>
      </c>
      <c r="M12" s="73">
        <f>H12</f>
        <v>3.5474999999999999</v>
      </c>
    </row>
    <row r="13" spans="1:13" ht="14.4" x14ac:dyDescent="0.3">
      <c r="B13" s="172"/>
      <c r="C13" s="250"/>
      <c r="D13" s="33"/>
      <c r="E13" s="251">
        <v>0.65</v>
      </c>
      <c r="F13" s="33">
        <v>2.15</v>
      </c>
      <c r="G13" s="252">
        <v>2</v>
      </c>
      <c r="H13" s="33">
        <f t="shared" ref="H13:H14" si="0">G13*F13*E13</f>
        <v>2.7949999999999999</v>
      </c>
      <c r="I13" s="166"/>
      <c r="J13" s="166"/>
      <c r="K13" s="33"/>
      <c r="L13" s="253" t="s">
        <v>3</v>
      </c>
      <c r="M13" s="138">
        <f>H13</f>
        <v>2.7949999999999999</v>
      </c>
    </row>
    <row r="14" spans="1:13" ht="14.4" x14ac:dyDescent="0.3">
      <c r="B14" s="172"/>
      <c r="C14" s="250"/>
      <c r="D14" s="33"/>
      <c r="E14" s="251">
        <v>0.85</v>
      </c>
      <c r="F14" s="33">
        <v>2.1</v>
      </c>
      <c r="G14" s="252">
        <v>1</v>
      </c>
      <c r="H14" s="33">
        <f t="shared" si="0"/>
        <v>1.7849999999999999</v>
      </c>
      <c r="I14" s="166"/>
      <c r="J14" s="166"/>
      <c r="K14" s="33"/>
      <c r="L14" s="253" t="s">
        <v>3</v>
      </c>
      <c r="M14" s="138">
        <f>H14</f>
        <v>1.7849999999999999</v>
      </c>
    </row>
    <row r="15" spans="1:13" ht="14.4" x14ac:dyDescent="0.3">
      <c r="B15" s="258"/>
      <c r="C15" s="101"/>
      <c r="D15" s="61"/>
      <c r="E15" s="102"/>
      <c r="F15" s="61"/>
      <c r="G15" s="103"/>
      <c r="H15" s="61"/>
      <c r="I15" s="85"/>
      <c r="J15" s="85"/>
      <c r="K15" s="61"/>
      <c r="L15" s="249"/>
      <c r="M15" s="177"/>
    </row>
    <row r="16" spans="1:13" ht="15" thickBot="1" x14ac:dyDescent="0.35">
      <c r="B16" s="175" t="s">
        <v>160</v>
      </c>
      <c r="C16" s="259"/>
      <c r="D16" s="80"/>
      <c r="E16" s="260"/>
      <c r="F16" s="80"/>
      <c r="G16" s="261"/>
      <c r="H16" s="80"/>
      <c r="I16" s="174"/>
      <c r="J16" s="174"/>
      <c r="K16" s="80"/>
      <c r="L16" s="262" t="s">
        <v>3</v>
      </c>
      <c r="M16" s="140">
        <f>SUM(M12:M15)</f>
        <v>8.1274999999999995</v>
      </c>
    </row>
    <row r="17" spans="2:13" ht="14.4" x14ac:dyDescent="0.3">
      <c r="B17" s="170" t="s">
        <v>159</v>
      </c>
      <c r="C17" s="255"/>
      <c r="D17" s="70"/>
      <c r="E17" s="256">
        <v>0.65</v>
      </c>
      <c r="F17" s="70">
        <v>0.65</v>
      </c>
      <c r="G17" s="222">
        <v>2</v>
      </c>
      <c r="H17" s="70">
        <f>G17*F17*E17</f>
        <v>0.84500000000000008</v>
      </c>
      <c r="I17" s="86"/>
      <c r="J17" s="86"/>
      <c r="K17" s="70"/>
      <c r="L17" s="257" t="s">
        <v>3</v>
      </c>
      <c r="M17" s="73">
        <f>H17</f>
        <v>0.84500000000000008</v>
      </c>
    </row>
    <row r="18" spans="2:13" ht="14.4" x14ac:dyDescent="0.3">
      <c r="B18" s="172"/>
      <c r="C18" s="250"/>
      <c r="D18" s="33"/>
      <c r="E18" s="251">
        <v>1.55</v>
      </c>
      <c r="F18" s="33">
        <v>1.1499999999999999</v>
      </c>
      <c r="G18" s="252">
        <v>1</v>
      </c>
      <c r="H18" s="33">
        <f t="shared" ref="H18:H19" si="1">G18*F18*E18</f>
        <v>1.7825</v>
      </c>
      <c r="I18" s="166"/>
      <c r="J18" s="166"/>
      <c r="K18" s="33"/>
      <c r="L18" s="253" t="s">
        <v>3</v>
      </c>
      <c r="M18" s="138">
        <f>H18</f>
        <v>1.7825</v>
      </c>
    </row>
    <row r="19" spans="2:13" ht="14.4" x14ac:dyDescent="0.3">
      <c r="B19" s="172"/>
      <c r="C19" s="250"/>
      <c r="D19" s="33"/>
      <c r="E19" s="251">
        <v>2.0499999999999998</v>
      </c>
      <c r="F19" s="33">
        <v>1.1499999999999999</v>
      </c>
      <c r="G19" s="252">
        <v>2</v>
      </c>
      <c r="H19" s="33">
        <f t="shared" si="1"/>
        <v>4.714999999999999</v>
      </c>
      <c r="I19" s="166"/>
      <c r="J19" s="166"/>
      <c r="K19" s="33"/>
      <c r="L19" s="253" t="s">
        <v>3</v>
      </c>
      <c r="M19" s="138">
        <f>H19</f>
        <v>4.714999999999999</v>
      </c>
    </row>
    <row r="20" spans="2:13" ht="14.4" x14ac:dyDescent="0.3">
      <c r="B20" s="258"/>
      <c r="C20" s="101"/>
      <c r="D20" s="61"/>
      <c r="E20" s="102"/>
      <c r="F20" s="61"/>
      <c r="G20" s="103"/>
      <c r="H20" s="61"/>
      <c r="I20" s="85"/>
      <c r="J20" s="85"/>
      <c r="K20" s="61"/>
      <c r="L20" s="249"/>
      <c r="M20" s="177"/>
    </row>
    <row r="21" spans="2:13" ht="15" thickBot="1" x14ac:dyDescent="0.35">
      <c r="B21" s="175" t="s">
        <v>161</v>
      </c>
      <c r="C21" s="259"/>
      <c r="D21" s="80"/>
      <c r="E21" s="260"/>
      <c r="F21" s="80"/>
      <c r="G21" s="261"/>
      <c r="H21" s="80"/>
      <c r="I21" s="174"/>
      <c r="J21" s="174"/>
      <c r="K21" s="80"/>
      <c r="L21" s="262" t="s">
        <v>3</v>
      </c>
      <c r="M21" s="140">
        <f>SUM(M17:M20)</f>
        <v>7.3424999999999994</v>
      </c>
    </row>
    <row r="22" spans="2:13" ht="15" thickBot="1" x14ac:dyDescent="0.35">
      <c r="B22" s="57"/>
      <c r="C22" s="57"/>
      <c r="D22" s="58"/>
      <c r="E22" s="59"/>
      <c r="F22" s="58"/>
      <c r="G22" s="60"/>
      <c r="H22" s="61"/>
      <c r="I22" s="62"/>
      <c r="J22" s="62"/>
      <c r="K22" s="61"/>
      <c r="L22" s="63"/>
      <c r="M22" s="64"/>
    </row>
    <row r="23" spans="2:13" ht="15" thickBot="1" x14ac:dyDescent="0.35">
      <c r="B23" s="224" t="s">
        <v>24</v>
      </c>
      <c r="C23" s="51"/>
      <c r="D23" s="52">
        <v>10</v>
      </c>
      <c r="E23" s="53">
        <v>7.2</v>
      </c>
      <c r="F23" s="52"/>
      <c r="G23" s="54">
        <v>1</v>
      </c>
      <c r="H23" s="55">
        <f>D23*E23*G23</f>
        <v>72</v>
      </c>
      <c r="I23" s="56"/>
      <c r="J23" s="56"/>
      <c r="K23" s="55"/>
      <c r="L23" s="90" t="s">
        <v>3</v>
      </c>
      <c r="M23" s="91">
        <f>H23</f>
        <v>72</v>
      </c>
    </row>
    <row r="24" spans="2:13" ht="15" thickBot="1" x14ac:dyDescent="0.35">
      <c r="B24" s="263"/>
      <c r="C24" s="57"/>
      <c r="D24" s="150"/>
      <c r="E24" s="151"/>
      <c r="F24" s="150"/>
      <c r="G24" s="152"/>
      <c r="H24" s="153"/>
      <c r="I24" s="169"/>
      <c r="J24" s="169"/>
      <c r="K24" s="153"/>
      <c r="L24" s="233"/>
      <c r="M24" s="234"/>
    </row>
    <row r="25" spans="2:13" ht="15" thickBot="1" x14ac:dyDescent="0.35">
      <c r="B25" s="224" t="s">
        <v>126</v>
      </c>
      <c r="C25" s="51"/>
      <c r="D25" s="52">
        <v>10</v>
      </c>
      <c r="E25" s="53">
        <v>7.2</v>
      </c>
      <c r="F25" s="52"/>
      <c r="G25" s="54">
        <v>1</v>
      </c>
      <c r="H25" s="55">
        <f>D25*E25*G25</f>
        <v>72</v>
      </c>
      <c r="I25" s="56"/>
      <c r="J25" s="56"/>
      <c r="K25" s="55"/>
      <c r="L25" s="90" t="s">
        <v>3</v>
      </c>
      <c r="M25" s="91">
        <f>H25</f>
        <v>72</v>
      </c>
    </row>
    <row r="26" spans="2:13" ht="15" thickBot="1" x14ac:dyDescent="0.35">
      <c r="B26" s="263"/>
      <c r="C26" s="57"/>
      <c r="D26" s="77"/>
      <c r="E26" s="107"/>
      <c r="F26" s="77"/>
      <c r="G26" s="79"/>
      <c r="H26" s="82"/>
      <c r="I26" s="81"/>
      <c r="J26" s="81"/>
      <c r="K26" s="82"/>
      <c r="L26" s="83"/>
      <c r="M26" s="84"/>
    </row>
    <row r="27" spans="2:13" ht="15" thickBot="1" x14ac:dyDescent="0.35">
      <c r="B27" s="224" t="s">
        <v>30</v>
      </c>
      <c r="C27" s="97">
        <v>4</v>
      </c>
      <c r="D27" s="92"/>
      <c r="E27" s="93"/>
      <c r="F27" s="92"/>
      <c r="G27" s="94"/>
      <c r="H27" s="95"/>
      <c r="I27" s="96"/>
      <c r="J27" s="96"/>
      <c r="K27" s="95"/>
      <c r="L27" s="90" t="s">
        <v>16</v>
      </c>
      <c r="M27" s="91">
        <v>4</v>
      </c>
    </row>
    <row r="28" spans="2:13" ht="15" thickBot="1" x14ac:dyDescent="0.35">
      <c r="B28" s="57"/>
      <c r="C28" s="57"/>
      <c r="D28" s="58"/>
      <c r="E28" s="59"/>
      <c r="F28" s="58"/>
      <c r="G28" s="60"/>
      <c r="H28" s="61"/>
      <c r="I28" s="62"/>
      <c r="J28" s="62"/>
      <c r="K28" s="61"/>
      <c r="L28" s="63"/>
      <c r="M28" s="64"/>
    </row>
    <row r="29" spans="2:13" ht="15" thickBot="1" x14ac:dyDescent="0.35">
      <c r="B29" s="224" t="s">
        <v>31</v>
      </c>
      <c r="C29" s="97">
        <v>6</v>
      </c>
      <c r="D29" s="52"/>
      <c r="E29" s="53"/>
      <c r="F29" s="52"/>
      <c r="G29" s="54"/>
      <c r="H29" s="55"/>
      <c r="I29" s="56"/>
      <c r="J29" s="56"/>
      <c r="K29" s="55"/>
      <c r="L29" s="90" t="s">
        <v>16</v>
      </c>
      <c r="M29" s="91">
        <v>6</v>
      </c>
    </row>
    <row r="30" spans="2:13" ht="15" thickBot="1" x14ac:dyDescent="0.3">
      <c r="B30" s="57"/>
      <c r="C30" s="57"/>
      <c r="D30" s="58"/>
      <c r="E30" s="98"/>
      <c r="F30" s="58"/>
      <c r="G30" s="60"/>
      <c r="H30" s="61"/>
      <c r="I30" s="62"/>
      <c r="J30" s="62"/>
      <c r="K30" s="61"/>
      <c r="L30" s="63"/>
      <c r="M30" s="64"/>
    </row>
    <row r="31" spans="2:13" ht="14.4" x14ac:dyDescent="0.25">
      <c r="B31" s="271" t="s">
        <v>32</v>
      </c>
      <c r="C31" s="255"/>
      <c r="D31" s="70">
        <v>2</v>
      </c>
      <c r="E31" s="266">
        <v>1.29</v>
      </c>
      <c r="F31" s="70"/>
      <c r="G31" s="222">
        <v>1</v>
      </c>
      <c r="H31" s="70">
        <f t="shared" ref="H31:H34" si="2">D31*E31*G31</f>
        <v>2.58</v>
      </c>
      <c r="I31" s="267"/>
      <c r="J31" s="267"/>
      <c r="K31" s="268"/>
      <c r="L31" s="269" t="s">
        <v>3</v>
      </c>
      <c r="M31" s="156">
        <f>H31</f>
        <v>2.58</v>
      </c>
    </row>
    <row r="32" spans="2:13" ht="14.4" x14ac:dyDescent="0.3">
      <c r="B32" s="172"/>
      <c r="C32" s="250"/>
      <c r="D32" s="33">
        <v>2</v>
      </c>
      <c r="E32" s="251">
        <v>1.3</v>
      </c>
      <c r="F32" s="33"/>
      <c r="G32" s="252">
        <v>1</v>
      </c>
      <c r="H32" s="33">
        <f t="shared" si="2"/>
        <v>2.6</v>
      </c>
      <c r="I32" s="166"/>
      <c r="J32" s="166"/>
      <c r="K32" s="33"/>
      <c r="L32" s="270" t="s">
        <v>3</v>
      </c>
      <c r="M32" s="138">
        <f t="shared" ref="M32:M34" si="3">H32</f>
        <v>2.6</v>
      </c>
    </row>
    <row r="33" spans="2:13" ht="14.4" x14ac:dyDescent="0.3">
      <c r="B33" s="172"/>
      <c r="C33" s="250"/>
      <c r="D33" s="33">
        <v>2</v>
      </c>
      <c r="E33" s="251">
        <v>2</v>
      </c>
      <c r="F33" s="33"/>
      <c r="G33" s="252">
        <v>1</v>
      </c>
      <c r="H33" s="33">
        <f t="shared" si="2"/>
        <v>4</v>
      </c>
      <c r="I33" s="166"/>
      <c r="J33" s="166"/>
      <c r="K33" s="33"/>
      <c r="L33" s="270" t="s">
        <v>3</v>
      </c>
      <c r="M33" s="138">
        <f t="shared" si="3"/>
        <v>4</v>
      </c>
    </row>
    <row r="34" spans="2:13" ht="14.4" x14ac:dyDescent="0.3">
      <c r="B34" s="172"/>
      <c r="C34" s="250"/>
      <c r="D34" s="33">
        <v>5.55</v>
      </c>
      <c r="E34" s="251">
        <v>4.8899999999999997</v>
      </c>
      <c r="F34" s="33"/>
      <c r="G34" s="252">
        <v>1</v>
      </c>
      <c r="H34" s="33">
        <f t="shared" si="2"/>
        <v>27.139499999999998</v>
      </c>
      <c r="I34" s="166"/>
      <c r="J34" s="166"/>
      <c r="K34" s="33"/>
      <c r="L34" s="270" t="s">
        <v>3</v>
      </c>
      <c r="M34" s="138">
        <f t="shared" si="3"/>
        <v>27.139499999999998</v>
      </c>
    </row>
    <row r="35" spans="2:13" ht="15" thickBot="1" x14ac:dyDescent="0.35">
      <c r="B35" s="175" t="s">
        <v>127</v>
      </c>
      <c r="C35" s="259"/>
      <c r="D35" s="80"/>
      <c r="E35" s="260"/>
      <c r="F35" s="80"/>
      <c r="G35" s="261"/>
      <c r="H35" s="80"/>
      <c r="I35" s="174"/>
      <c r="J35" s="174"/>
      <c r="K35" s="80"/>
      <c r="L35" s="262" t="s">
        <v>3</v>
      </c>
      <c r="M35" s="140">
        <f>SUM(M31:M34)</f>
        <v>36.319499999999998</v>
      </c>
    </row>
    <row r="36" spans="2:13" ht="15" thickBot="1" x14ac:dyDescent="0.35">
      <c r="B36" s="263"/>
      <c r="C36" s="57"/>
      <c r="D36" s="58"/>
      <c r="E36" s="59"/>
      <c r="F36" s="58"/>
      <c r="G36" s="60"/>
      <c r="H36" s="61"/>
      <c r="I36" s="62"/>
      <c r="J36" s="62"/>
      <c r="K36" s="61"/>
      <c r="L36" s="145"/>
      <c r="M36" s="165"/>
    </row>
    <row r="37" spans="2:13" ht="14.4" x14ac:dyDescent="0.3">
      <c r="B37" s="279" t="s">
        <v>25</v>
      </c>
      <c r="C37" s="66"/>
      <c r="D37" s="67">
        <v>8</v>
      </c>
      <c r="E37" s="68">
        <v>0.15</v>
      </c>
      <c r="F37" s="67">
        <v>3</v>
      </c>
      <c r="G37" s="69">
        <v>2</v>
      </c>
      <c r="H37" s="70"/>
      <c r="I37" s="71"/>
      <c r="J37" s="71">
        <f>G37*F37*E37*D37</f>
        <v>7.1999999999999993</v>
      </c>
      <c r="K37" s="70"/>
      <c r="L37" s="72"/>
      <c r="M37" s="73">
        <f t="shared" ref="M37:M42" si="4">J37</f>
        <v>7.1999999999999993</v>
      </c>
    </row>
    <row r="38" spans="2:13" ht="14.4" x14ac:dyDescent="0.3">
      <c r="B38" s="74"/>
      <c r="C38" s="8"/>
      <c r="D38" s="37">
        <v>4.8899999999999997</v>
      </c>
      <c r="E38" s="42">
        <v>0.15</v>
      </c>
      <c r="F38" s="37">
        <v>3</v>
      </c>
      <c r="G38" s="38">
        <v>3</v>
      </c>
      <c r="H38" s="39"/>
      <c r="I38" s="40"/>
      <c r="J38" s="40">
        <f t="shared" ref="J38:J42" si="5">G38*F38*E38*D38</f>
        <v>6.6014999999999988</v>
      </c>
      <c r="K38" s="39"/>
      <c r="L38" s="41"/>
      <c r="M38" s="75">
        <f t="shared" si="4"/>
        <v>6.6014999999999988</v>
      </c>
    </row>
    <row r="39" spans="2:13" ht="14.4" x14ac:dyDescent="0.3">
      <c r="B39" s="74"/>
      <c r="C39" s="8"/>
      <c r="D39" s="37">
        <v>2.8</v>
      </c>
      <c r="E39" s="42">
        <v>0.15</v>
      </c>
      <c r="F39" s="37">
        <v>3</v>
      </c>
      <c r="G39" s="38">
        <v>1</v>
      </c>
      <c r="H39" s="39"/>
      <c r="I39" s="40"/>
      <c r="J39" s="40">
        <f t="shared" si="5"/>
        <v>1.2599999999999998</v>
      </c>
      <c r="K39" s="39"/>
      <c r="L39" s="41"/>
      <c r="M39" s="75">
        <f t="shared" si="4"/>
        <v>1.2599999999999998</v>
      </c>
    </row>
    <row r="40" spans="2:13" ht="14.4" x14ac:dyDescent="0.3">
      <c r="B40" s="74"/>
      <c r="C40" s="8"/>
      <c r="D40" s="37">
        <v>2</v>
      </c>
      <c r="E40" s="42">
        <v>0.15</v>
      </c>
      <c r="F40" s="37">
        <v>2</v>
      </c>
      <c r="G40" s="38">
        <v>2</v>
      </c>
      <c r="H40" s="39"/>
      <c r="I40" s="40"/>
      <c r="J40" s="40">
        <f t="shared" si="5"/>
        <v>1.2</v>
      </c>
      <c r="K40" s="39"/>
      <c r="L40" s="41"/>
      <c r="M40" s="75">
        <f t="shared" si="4"/>
        <v>1.2</v>
      </c>
    </row>
    <row r="41" spans="2:13" ht="14.4" x14ac:dyDescent="0.3">
      <c r="B41" s="178"/>
      <c r="C41" s="7"/>
      <c r="D41" s="31">
        <v>10</v>
      </c>
      <c r="E41" s="42">
        <v>0.15</v>
      </c>
      <c r="F41" s="31">
        <v>0.45</v>
      </c>
      <c r="G41" s="32">
        <v>2</v>
      </c>
      <c r="H41" s="33"/>
      <c r="I41" s="34"/>
      <c r="J41" s="34">
        <f t="shared" si="5"/>
        <v>1.35</v>
      </c>
      <c r="K41" s="33"/>
      <c r="L41" s="35"/>
      <c r="M41" s="36">
        <f t="shared" si="4"/>
        <v>1.35</v>
      </c>
    </row>
    <row r="42" spans="2:13" ht="14.4" x14ac:dyDescent="0.3">
      <c r="B42" s="178"/>
      <c r="C42" s="7"/>
      <c r="D42" s="31">
        <v>5.19</v>
      </c>
      <c r="E42" s="42">
        <v>0.15</v>
      </c>
      <c r="F42" s="31">
        <v>0.45</v>
      </c>
      <c r="G42" s="32">
        <v>2</v>
      </c>
      <c r="H42" s="33"/>
      <c r="I42" s="34"/>
      <c r="J42" s="34">
        <f t="shared" si="5"/>
        <v>0.70065000000000011</v>
      </c>
      <c r="K42" s="33"/>
      <c r="L42" s="35"/>
      <c r="M42" s="36">
        <f t="shared" si="4"/>
        <v>0.70065000000000011</v>
      </c>
    </row>
    <row r="43" spans="2:13" ht="15" thickBot="1" x14ac:dyDescent="0.35">
      <c r="B43" s="89" t="s">
        <v>28</v>
      </c>
      <c r="C43" s="76"/>
      <c r="D43" s="77"/>
      <c r="E43" s="107"/>
      <c r="F43" s="77"/>
      <c r="G43" s="79"/>
      <c r="H43" s="82"/>
      <c r="I43" s="81"/>
      <c r="J43" s="81"/>
      <c r="K43" s="82"/>
      <c r="L43" s="83" t="s">
        <v>29</v>
      </c>
      <c r="M43" s="84">
        <f>SUM(M37:M42)</f>
        <v>18.312149999999999</v>
      </c>
    </row>
    <row r="44" spans="2:13" ht="15" thickBot="1" x14ac:dyDescent="0.35">
      <c r="B44" s="57"/>
      <c r="C44" s="57"/>
      <c r="D44" s="58"/>
      <c r="E44" s="59"/>
      <c r="F44" s="58"/>
      <c r="G44" s="60"/>
      <c r="H44" s="61"/>
      <c r="I44" s="62"/>
      <c r="J44" s="62"/>
      <c r="K44" s="61"/>
      <c r="L44" s="63"/>
      <c r="M44" s="64"/>
    </row>
    <row r="45" spans="2:13" ht="14.4" x14ac:dyDescent="0.3">
      <c r="B45" s="271" t="s">
        <v>128</v>
      </c>
      <c r="C45" s="275"/>
      <c r="D45" s="67">
        <v>8</v>
      </c>
      <c r="E45" s="68">
        <v>0.15</v>
      </c>
      <c r="F45" s="150">
        <v>0.42</v>
      </c>
      <c r="G45" s="69">
        <v>2</v>
      </c>
      <c r="H45" s="268"/>
      <c r="I45" s="267"/>
      <c r="J45" s="71">
        <f t="shared" ref="J45:J50" si="6">G45*F45*E45*D45</f>
        <v>1.008</v>
      </c>
      <c r="K45" s="70"/>
      <c r="L45" s="72"/>
      <c r="M45" s="73">
        <f t="shared" ref="M45:M50" si="7">J45</f>
        <v>1.008</v>
      </c>
    </row>
    <row r="46" spans="2:13" ht="14.4" x14ac:dyDescent="0.3">
      <c r="B46" s="172"/>
      <c r="C46" s="250"/>
      <c r="D46" s="37">
        <v>4.8899999999999997</v>
      </c>
      <c r="E46" s="273">
        <v>0.15</v>
      </c>
      <c r="F46" s="31">
        <v>0.42</v>
      </c>
      <c r="G46" s="38">
        <v>3</v>
      </c>
      <c r="H46" s="33"/>
      <c r="I46" s="166"/>
      <c r="J46" s="40">
        <f t="shared" si="6"/>
        <v>0.92420999999999998</v>
      </c>
      <c r="K46" s="39"/>
      <c r="L46" s="41"/>
      <c r="M46" s="75">
        <f t="shared" si="7"/>
        <v>0.92420999999999998</v>
      </c>
    </row>
    <row r="47" spans="2:13" ht="14.4" x14ac:dyDescent="0.3">
      <c r="B47" s="172"/>
      <c r="C47" s="272"/>
      <c r="D47" s="37">
        <v>2.8</v>
      </c>
      <c r="E47" s="273">
        <v>0.15</v>
      </c>
      <c r="F47" s="61">
        <v>0.42</v>
      </c>
      <c r="G47" s="38">
        <v>1</v>
      </c>
      <c r="H47" s="33"/>
      <c r="I47" s="166"/>
      <c r="J47" s="40">
        <f t="shared" si="6"/>
        <v>0.1764</v>
      </c>
      <c r="K47" s="39"/>
      <c r="L47" s="41"/>
      <c r="M47" s="75">
        <f t="shared" si="7"/>
        <v>0.1764</v>
      </c>
    </row>
    <row r="48" spans="2:13" ht="14.4" x14ac:dyDescent="0.3">
      <c r="B48" s="172"/>
      <c r="C48" s="272"/>
      <c r="D48" s="37">
        <v>2</v>
      </c>
      <c r="E48" s="273">
        <v>0.15</v>
      </c>
      <c r="F48" s="31">
        <v>0.42</v>
      </c>
      <c r="G48" s="38">
        <v>2</v>
      </c>
      <c r="H48" s="33"/>
      <c r="I48" s="166"/>
      <c r="J48" s="40">
        <f t="shared" si="6"/>
        <v>0.252</v>
      </c>
      <c r="K48" s="39"/>
      <c r="L48" s="41"/>
      <c r="M48" s="75">
        <f t="shared" si="7"/>
        <v>0.252</v>
      </c>
    </row>
    <row r="49" spans="2:13" ht="14.4" x14ac:dyDescent="0.25">
      <c r="B49" s="172"/>
      <c r="C49" s="250"/>
      <c r="D49" s="33">
        <v>10</v>
      </c>
      <c r="E49" s="274">
        <v>1</v>
      </c>
      <c r="F49" s="39">
        <v>0.15</v>
      </c>
      <c r="G49" s="252">
        <v>2</v>
      </c>
      <c r="H49" s="33"/>
      <c r="I49" s="166"/>
      <c r="J49" s="40">
        <f t="shared" si="6"/>
        <v>3</v>
      </c>
      <c r="K49" s="39"/>
      <c r="L49" s="41"/>
      <c r="M49" s="75">
        <f t="shared" si="7"/>
        <v>3</v>
      </c>
    </row>
    <row r="50" spans="2:13" ht="14.4" x14ac:dyDescent="0.25">
      <c r="B50" s="172"/>
      <c r="C50" s="250"/>
      <c r="D50" s="33">
        <v>5.19</v>
      </c>
      <c r="E50" s="274">
        <v>1</v>
      </c>
      <c r="F50" s="33">
        <v>0.15</v>
      </c>
      <c r="G50" s="252">
        <v>2</v>
      </c>
      <c r="H50" s="33"/>
      <c r="I50" s="166"/>
      <c r="J50" s="40">
        <f t="shared" si="6"/>
        <v>1.5570000000000002</v>
      </c>
      <c r="K50" s="39"/>
      <c r="L50" s="41"/>
      <c r="M50" s="75">
        <f t="shared" si="7"/>
        <v>1.5570000000000002</v>
      </c>
    </row>
    <row r="51" spans="2:13" ht="15" thickBot="1" x14ac:dyDescent="0.3">
      <c r="B51" s="89" t="s">
        <v>129</v>
      </c>
      <c r="C51" s="259"/>
      <c r="D51" s="80"/>
      <c r="E51" s="276"/>
      <c r="F51" s="80"/>
      <c r="G51" s="261"/>
      <c r="H51" s="80"/>
      <c r="I51" s="277"/>
      <c r="J51" s="277"/>
      <c r="K51" s="278"/>
      <c r="L51" s="262" t="s">
        <v>29</v>
      </c>
      <c r="M51" s="140">
        <f>SUM(M45:M50)</f>
        <v>6.9176100000000007</v>
      </c>
    </row>
    <row r="52" spans="2:13" ht="14.4" x14ac:dyDescent="0.25">
      <c r="B52" s="164"/>
      <c r="C52" s="57"/>
      <c r="D52" s="58"/>
      <c r="E52" s="98"/>
      <c r="F52" s="58"/>
      <c r="G52" s="60"/>
      <c r="H52" s="61"/>
      <c r="I52" s="62"/>
      <c r="J52" s="62"/>
      <c r="K52" s="61"/>
      <c r="L52" s="63"/>
      <c r="M52" s="64"/>
    </row>
    <row r="53" spans="2:13" ht="28.8" x14ac:dyDescent="0.25">
      <c r="B53" s="284" t="s">
        <v>33</v>
      </c>
      <c r="C53" s="7"/>
      <c r="D53" s="31">
        <v>2</v>
      </c>
      <c r="E53" s="264">
        <v>1.29</v>
      </c>
      <c r="F53" s="31"/>
      <c r="G53" s="167">
        <v>1</v>
      </c>
      <c r="H53" s="33">
        <f t="shared" ref="H53:H56" si="8">D53*E53*G53</f>
        <v>2.58</v>
      </c>
      <c r="I53" s="283"/>
      <c r="J53" s="283"/>
      <c r="K53" s="265"/>
      <c r="L53" s="35"/>
      <c r="M53" s="36">
        <f>H53</f>
        <v>2.58</v>
      </c>
    </row>
    <row r="54" spans="2:13" ht="14.4" x14ac:dyDescent="0.3">
      <c r="B54" s="281"/>
      <c r="C54" s="7"/>
      <c r="D54" s="31">
        <v>2</v>
      </c>
      <c r="E54" s="251">
        <v>1.3</v>
      </c>
      <c r="F54" s="31"/>
      <c r="G54" s="167">
        <v>1</v>
      </c>
      <c r="H54" s="33">
        <f t="shared" si="8"/>
        <v>2.6</v>
      </c>
      <c r="I54" s="283"/>
      <c r="J54" s="283"/>
      <c r="K54" s="265"/>
      <c r="L54" s="239"/>
      <c r="M54" s="36">
        <f t="shared" ref="M54:M56" si="9">H54</f>
        <v>2.6</v>
      </c>
    </row>
    <row r="55" spans="2:13" ht="14.4" x14ac:dyDescent="0.3">
      <c r="B55" s="281"/>
      <c r="C55" s="7"/>
      <c r="D55" s="31">
        <v>2</v>
      </c>
      <c r="E55" s="251">
        <v>2</v>
      </c>
      <c r="F55" s="31"/>
      <c r="G55" s="167">
        <v>1</v>
      </c>
      <c r="H55" s="33">
        <f t="shared" si="8"/>
        <v>4</v>
      </c>
      <c r="I55" s="283"/>
      <c r="J55" s="283"/>
      <c r="K55" s="265"/>
      <c r="L55" s="239"/>
      <c r="M55" s="36">
        <f t="shared" si="9"/>
        <v>4</v>
      </c>
    </row>
    <row r="56" spans="2:13" ht="14.4" x14ac:dyDescent="0.3">
      <c r="B56" s="281"/>
      <c r="C56" s="7"/>
      <c r="D56" s="31">
        <v>5.55</v>
      </c>
      <c r="E56" s="251">
        <v>4.8899999999999997</v>
      </c>
      <c r="F56" s="31"/>
      <c r="G56" s="167">
        <v>1</v>
      </c>
      <c r="H56" s="33">
        <f t="shared" si="8"/>
        <v>27.139499999999998</v>
      </c>
      <c r="I56" s="283"/>
      <c r="J56" s="283"/>
      <c r="K56" s="265"/>
      <c r="L56" s="239"/>
      <c r="M56" s="36">
        <f t="shared" si="9"/>
        <v>27.139499999999998</v>
      </c>
    </row>
    <row r="57" spans="2:13" ht="14.4" x14ac:dyDescent="0.25">
      <c r="B57" s="284" t="s">
        <v>130</v>
      </c>
      <c r="C57" s="7"/>
      <c r="D57" s="31"/>
      <c r="E57" s="282"/>
      <c r="F57" s="31"/>
      <c r="G57" s="32"/>
      <c r="H57" s="33"/>
      <c r="I57" s="283"/>
      <c r="J57" s="283"/>
      <c r="K57" s="265"/>
      <c r="L57" s="239" t="s">
        <v>3</v>
      </c>
      <c r="M57" s="254">
        <f>SUM(M53:M56)</f>
        <v>36.319499999999998</v>
      </c>
    </row>
    <row r="58" spans="2:13" ht="14.4" x14ac:dyDescent="0.25">
      <c r="B58" s="286"/>
      <c r="C58" s="57"/>
      <c r="D58" s="58"/>
      <c r="E58" s="98"/>
      <c r="F58" s="58"/>
      <c r="G58" s="60"/>
      <c r="H58" s="61"/>
      <c r="I58" s="280"/>
      <c r="J58" s="280"/>
      <c r="K58" s="105"/>
      <c r="L58" s="145"/>
      <c r="M58" s="287"/>
    </row>
    <row r="59" spans="2:13" ht="15" thickBot="1" x14ac:dyDescent="0.3">
      <c r="B59" s="57" t="s">
        <v>141</v>
      </c>
      <c r="C59" s="57"/>
      <c r="D59" s="108"/>
      <c r="E59" s="109"/>
      <c r="F59" s="108"/>
      <c r="G59" s="110"/>
      <c r="H59" s="111"/>
      <c r="I59" s="111"/>
      <c r="J59" s="111"/>
      <c r="K59" s="112"/>
      <c r="L59" s="113"/>
      <c r="M59" s="111"/>
    </row>
    <row r="60" spans="2:13" ht="15" thickBot="1" x14ac:dyDescent="0.3">
      <c r="B60" s="128" t="s">
        <v>34</v>
      </c>
      <c r="C60" s="129"/>
      <c r="D60" s="130"/>
      <c r="E60" s="131"/>
      <c r="F60" s="132"/>
      <c r="G60" s="133"/>
      <c r="H60" s="134"/>
      <c r="I60" s="134"/>
      <c r="J60" s="134"/>
      <c r="K60" s="134"/>
      <c r="L60" s="135"/>
      <c r="M60" s="136"/>
    </row>
    <row r="61" spans="2:13" ht="14.4" x14ac:dyDescent="0.3">
      <c r="B61" s="65" t="s">
        <v>35</v>
      </c>
      <c r="C61" s="66"/>
      <c r="D61" s="67">
        <v>4.7</v>
      </c>
      <c r="E61" s="68">
        <v>4.25</v>
      </c>
      <c r="F61" s="67"/>
      <c r="G61" s="69">
        <v>1</v>
      </c>
      <c r="H61" s="70">
        <f>D61*E61*G61</f>
        <v>19.975000000000001</v>
      </c>
      <c r="I61" s="71"/>
      <c r="J61" s="71"/>
      <c r="K61" s="70"/>
      <c r="L61" s="72" t="s">
        <v>3</v>
      </c>
      <c r="M61" s="73">
        <f>H61</f>
        <v>19.975000000000001</v>
      </c>
    </row>
    <row r="62" spans="2:13" ht="14.4" x14ac:dyDescent="0.3">
      <c r="B62" s="137"/>
      <c r="C62" s="8"/>
      <c r="D62" s="37">
        <v>31.6</v>
      </c>
      <c r="E62" s="49">
        <v>3</v>
      </c>
      <c r="F62" s="37"/>
      <c r="G62" s="38">
        <v>1</v>
      </c>
      <c r="H62" s="33">
        <f>D62*E62*G62</f>
        <v>94.800000000000011</v>
      </c>
      <c r="I62" s="34"/>
      <c r="J62" s="34"/>
      <c r="K62" s="33"/>
      <c r="L62" s="35" t="s">
        <v>3</v>
      </c>
      <c r="M62" s="138">
        <f>H62</f>
        <v>94.800000000000011</v>
      </c>
    </row>
    <row r="63" spans="2:13" ht="14.4" x14ac:dyDescent="0.3">
      <c r="B63" s="137"/>
      <c r="C63" s="8"/>
      <c r="D63" s="37">
        <v>26.1</v>
      </c>
      <c r="E63" s="49">
        <v>49.5</v>
      </c>
      <c r="F63" s="37"/>
      <c r="G63" s="38">
        <v>1</v>
      </c>
      <c r="H63" s="33">
        <f t="shared" ref="H63:H66" si="10">D63*E63*G63</f>
        <v>1291.95</v>
      </c>
      <c r="I63" s="34"/>
      <c r="J63" s="34"/>
      <c r="K63" s="33"/>
      <c r="L63" s="35" t="s">
        <v>3</v>
      </c>
      <c r="M63" s="138">
        <f t="shared" ref="M63:M66" si="11">H63</f>
        <v>1291.95</v>
      </c>
    </row>
    <row r="64" spans="2:13" ht="14.4" x14ac:dyDescent="0.3">
      <c r="B64" s="137"/>
      <c r="C64" s="8"/>
      <c r="D64" s="37">
        <v>14</v>
      </c>
      <c r="E64" s="49">
        <v>32.1</v>
      </c>
      <c r="F64" s="37"/>
      <c r="G64" s="38">
        <v>1</v>
      </c>
      <c r="H64" s="33">
        <f t="shared" si="10"/>
        <v>449.40000000000003</v>
      </c>
      <c r="I64" s="34"/>
      <c r="J64" s="34"/>
      <c r="K64" s="33"/>
      <c r="L64" s="35" t="s">
        <v>3</v>
      </c>
      <c r="M64" s="138">
        <f t="shared" si="11"/>
        <v>449.40000000000003</v>
      </c>
    </row>
    <row r="65" spans="2:13" ht="14.4" x14ac:dyDescent="0.3">
      <c r="B65" s="74"/>
      <c r="C65" s="8"/>
      <c r="D65" s="37">
        <v>14.2</v>
      </c>
      <c r="E65" s="42">
        <v>68.3</v>
      </c>
      <c r="F65" s="37"/>
      <c r="G65" s="38">
        <v>2</v>
      </c>
      <c r="H65" s="33">
        <f t="shared" si="10"/>
        <v>1939.7199999999998</v>
      </c>
      <c r="I65" s="34"/>
      <c r="J65" s="34"/>
      <c r="K65" s="33"/>
      <c r="L65" s="35" t="s">
        <v>3</v>
      </c>
      <c r="M65" s="138">
        <f t="shared" si="11"/>
        <v>1939.7199999999998</v>
      </c>
    </row>
    <row r="66" spans="2:13" ht="14.4" x14ac:dyDescent="0.3">
      <c r="B66" s="74"/>
      <c r="C66" s="8"/>
      <c r="D66" s="37">
        <v>32.1</v>
      </c>
      <c r="E66" s="42">
        <v>15</v>
      </c>
      <c r="F66" s="37"/>
      <c r="G66" s="38">
        <v>1</v>
      </c>
      <c r="H66" s="33">
        <f t="shared" si="10"/>
        <v>481.5</v>
      </c>
      <c r="I66" s="34"/>
      <c r="J66" s="34"/>
      <c r="K66" s="33"/>
      <c r="L66" s="35" t="s">
        <v>3</v>
      </c>
      <c r="M66" s="138">
        <f t="shared" si="11"/>
        <v>481.5</v>
      </c>
    </row>
    <row r="67" spans="2:13" ht="15" thickBot="1" x14ac:dyDescent="0.35">
      <c r="B67" s="89" t="s">
        <v>40</v>
      </c>
      <c r="C67" s="76"/>
      <c r="D67" s="77"/>
      <c r="E67" s="78"/>
      <c r="F67" s="77"/>
      <c r="G67" s="79"/>
      <c r="H67" s="82"/>
      <c r="I67" s="81"/>
      <c r="J67" s="81"/>
      <c r="K67" s="82"/>
      <c r="L67" s="83" t="s">
        <v>3</v>
      </c>
      <c r="M67" s="84">
        <f>SUM(M61:M66)</f>
        <v>4277.3450000000003</v>
      </c>
    </row>
    <row r="68" spans="2:13" ht="15" thickBot="1" x14ac:dyDescent="0.35">
      <c r="B68" s="106"/>
      <c r="C68" s="76"/>
      <c r="D68" s="77"/>
      <c r="E68" s="107"/>
      <c r="F68" s="77"/>
      <c r="G68" s="79"/>
      <c r="H68" s="82"/>
      <c r="I68" s="81"/>
      <c r="J68" s="81"/>
      <c r="K68" s="82"/>
      <c r="L68" s="83"/>
      <c r="M68" s="84"/>
    </row>
    <row r="69" spans="2:13" ht="15" thickBot="1" x14ac:dyDescent="0.35">
      <c r="B69" s="163" t="s">
        <v>45</v>
      </c>
      <c r="C69" s="76"/>
      <c r="D69" s="77">
        <v>31.6</v>
      </c>
      <c r="E69" s="107"/>
      <c r="F69" s="77"/>
      <c r="G69" s="79">
        <v>2</v>
      </c>
      <c r="H69" s="82"/>
      <c r="I69" s="81"/>
      <c r="J69" s="81"/>
      <c r="K69" s="82"/>
      <c r="L69" s="83" t="s">
        <v>46</v>
      </c>
      <c r="M69" s="84">
        <f>G69*D69</f>
        <v>63.2</v>
      </c>
    </row>
    <row r="70" spans="2:13" ht="15" thickBot="1" x14ac:dyDescent="0.35">
      <c r="B70" s="164"/>
      <c r="C70" s="57"/>
      <c r="D70" s="58"/>
      <c r="E70" s="59"/>
      <c r="F70" s="58"/>
      <c r="G70" s="60"/>
      <c r="H70" s="61"/>
      <c r="I70" s="62"/>
      <c r="J70" s="62"/>
      <c r="K70" s="61"/>
      <c r="L70" s="145"/>
      <c r="M70" s="165"/>
    </row>
    <row r="71" spans="2:13" ht="14.4" x14ac:dyDescent="0.3">
      <c r="B71" s="170" t="s">
        <v>36</v>
      </c>
      <c r="C71" s="66"/>
      <c r="D71" s="70">
        <v>4.7</v>
      </c>
      <c r="E71" s="68">
        <v>48.8</v>
      </c>
      <c r="F71" s="70"/>
      <c r="G71" s="171">
        <v>1</v>
      </c>
      <c r="H71" s="70">
        <f>D71*E71*G71</f>
        <v>229.35999999999999</v>
      </c>
      <c r="I71" s="71"/>
      <c r="J71" s="86"/>
      <c r="K71" s="67"/>
      <c r="L71" s="72" t="s">
        <v>3</v>
      </c>
      <c r="M71" s="73">
        <f>H71</f>
        <v>229.35999999999999</v>
      </c>
    </row>
    <row r="72" spans="2:13" ht="14.4" x14ac:dyDescent="0.3">
      <c r="B72" s="172"/>
      <c r="C72" s="7"/>
      <c r="D72" s="33">
        <v>11.3</v>
      </c>
      <c r="E72" s="42">
        <v>0.7</v>
      </c>
      <c r="F72" s="33"/>
      <c r="G72" s="167">
        <v>1</v>
      </c>
      <c r="H72" s="33">
        <f>D72*E72*G72</f>
        <v>7.91</v>
      </c>
      <c r="I72" s="34"/>
      <c r="J72" s="166"/>
      <c r="K72" s="31"/>
      <c r="L72" s="35" t="s">
        <v>3</v>
      </c>
      <c r="M72" s="138">
        <f>H72</f>
        <v>7.91</v>
      </c>
    </row>
    <row r="73" spans="2:13" ht="15" thickBot="1" x14ac:dyDescent="0.35">
      <c r="B73" s="172"/>
      <c r="C73" s="7"/>
      <c r="D73" s="33"/>
      <c r="E73" s="42"/>
      <c r="F73" s="33"/>
      <c r="G73" s="167">
        <v>1</v>
      </c>
      <c r="H73" s="33">
        <v>2935.52</v>
      </c>
      <c r="I73" s="34"/>
      <c r="J73" s="166"/>
      <c r="K73" s="31"/>
      <c r="L73" s="35" t="s">
        <v>3</v>
      </c>
      <c r="M73" s="138">
        <f>H73</f>
        <v>2935.52</v>
      </c>
    </row>
    <row r="74" spans="2:13" ht="14.4" x14ac:dyDescent="0.3">
      <c r="B74" s="172"/>
      <c r="C74" s="7"/>
      <c r="D74" s="67">
        <v>3.7</v>
      </c>
      <c r="E74" s="68">
        <v>68.3</v>
      </c>
      <c r="F74" s="67"/>
      <c r="G74" s="69">
        <v>1</v>
      </c>
      <c r="H74" s="70">
        <f>D74*E74*G74</f>
        <v>252.71</v>
      </c>
      <c r="I74" s="71"/>
      <c r="J74" s="71"/>
      <c r="K74" s="70"/>
      <c r="L74" s="72" t="s">
        <v>3</v>
      </c>
      <c r="M74" s="73">
        <f>H74</f>
        <v>252.71</v>
      </c>
    </row>
    <row r="75" spans="2:13" ht="15" thickBot="1" x14ac:dyDescent="0.35">
      <c r="B75" s="175" t="s">
        <v>52</v>
      </c>
      <c r="C75" s="141"/>
      <c r="D75" s="80"/>
      <c r="E75" s="78"/>
      <c r="F75" s="80"/>
      <c r="G75" s="173"/>
      <c r="H75" s="80"/>
      <c r="I75" s="87"/>
      <c r="J75" s="174"/>
      <c r="K75" s="142"/>
      <c r="L75" s="139" t="s">
        <v>3</v>
      </c>
      <c r="M75" s="140">
        <f>SUM(M71:M74)</f>
        <v>3425.5</v>
      </c>
    </row>
    <row r="76" spans="2:13" ht="13.8" thickBot="1" x14ac:dyDescent="0.3"/>
    <row r="77" spans="2:13" ht="15" thickBot="1" x14ac:dyDescent="0.35">
      <c r="B77" s="65" t="s">
        <v>156</v>
      </c>
      <c r="C77" s="66"/>
      <c r="D77" s="67">
        <v>3</v>
      </c>
      <c r="E77" s="68">
        <v>1.17</v>
      </c>
      <c r="F77" s="67">
        <v>0.15</v>
      </c>
      <c r="G77" s="69">
        <v>1</v>
      </c>
      <c r="H77" s="70"/>
      <c r="I77" s="71"/>
      <c r="J77" s="71">
        <f>G77*F77*E77*D77</f>
        <v>0.52649999999999997</v>
      </c>
      <c r="K77" s="70"/>
      <c r="L77" s="155" t="s">
        <v>29</v>
      </c>
      <c r="M77" s="73">
        <f>J77</f>
        <v>0.52649999999999997</v>
      </c>
    </row>
    <row r="78" spans="2:13" ht="14.4" x14ac:dyDescent="0.3">
      <c r="B78" s="137"/>
      <c r="C78" s="8"/>
      <c r="D78" s="37">
        <v>16.75</v>
      </c>
      <c r="E78" s="49">
        <v>1.7</v>
      </c>
      <c r="F78" s="37">
        <v>0.15</v>
      </c>
      <c r="G78" s="38">
        <v>1</v>
      </c>
      <c r="H78" s="33"/>
      <c r="I78" s="34"/>
      <c r="J78" s="71">
        <f>G78*F78*E78*D78</f>
        <v>4.2712500000000002</v>
      </c>
      <c r="K78" s="33"/>
      <c r="L78" s="146" t="s">
        <v>29</v>
      </c>
      <c r="M78" s="138">
        <f>J78</f>
        <v>4.2712500000000002</v>
      </c>
    </row>
    <row r="79" spans="2:13" ht="15" thickBot="1" x14ac:dyDescent="0.35">
      <c r="B79" s="89" t="s">
        <v>41</v>
      </c>
      <c r="C79" s="76"/>
      <c r="D79" s="77"/>
      <c r="E79" s="78"/>
      <c r="F79" s="77"/>
      <c r="G79" s="79"/>
      <c r="H79" s="80"/>
      <c r="I79" s="87"/>
      <c r="J79" s="87"/>
      <c r="K79" s="80"/>
      <c r="L79" s="139" t="s">
        <v>29</v>
      </c>
      <c r="M79" s="140">
        <f>SUM(M77:M78)</f>
        <v>4.7977500000000006</v>
      </c>
    </row>
    <row r="80" spans="2:13" ht="13.8" thickBot="1" x14ac:dyDescent="0.3"/>
    <row r="81" spans="2:13" ht="43.8" thickBot="1" x14ac:dyDescent="0.35">
      <c r="B81" s="160" t="s">
        <v>560</v>
      </c>
      <c r="C81" s="66"/>
      <c r="D81" s="67">
        <v>120.63</v>
      </c>
      <c r="E81" s="68">
        <v>2.5</v>
      </c>
      <c r="F81" s="67">
        <v>0.15</v>
      </c>
      <c r="G81" s="69">
        <v>1</v>
      </c>
      <c r="H81" s="70"/>
      <c r="I81" s="71"/>
      <c r="J81" s="71">
        <f>G81*F81*E81*D81</f>
        <v>45.236249999999998</v>
      </c>
      <c r="K81" s="70"/>
      <c r="L81" s="155" t="s">
        <v>29</v>
      </c>
      <c r="M81" s="73">
        <f>J81</f>
        <v>45.236249999999998</v>
      </c>
    </row>
    <row r="82" spans="2:13" ht="14.4" x14ac:dyDescent="0.3">
      <c r="B82" s="137"/>
      <c r="C82" s="8"/>
      <c r="D82" s="37"/>
      <c r="E82" s="49"/>
      <c r="F82" s="37"/>
      <c r="G82" s="38"/>
      <c r="H82" s="33"/>
      <c r="I82" s="34"/>
      <c r="J82" s="71"/>
      <c r="K82" s="33"/>
      <c r="L82" s="146"/>
      <c r="M82" s="138"/>
    </row>
    <row r="83" spans="2:13" ht="15" thickBot="1" x14ac:dyDescent="0.35">
      <c r="B83" s="89" t="s">
        <v>561</v>
      </c>
      <c r="C83" s="76"/>
      <c r="D83" s="77"/>
      <c r="E83" s="78"/>
      <c r="F83" s="77"/>
      <c r="G83" s="79"/>
      <c r="H83" s="80"/>
      <c r="I83" s="87"/>
      <c r="J83" s="87"/>
      <c r="K83" s="80"/>
      <c r="L83" s="139" t="s">
        <v>29</v>
      </c>
      <c r="M83" s="140">
        <f>SUM(M81:M82)</f>
        <v>45.236249999999998</v>
      </c>
    </row>
    <row r="85" spans="2:13" ht="13.8" thickBot="1" x14ac:dyDescent="0.3">
      <c r="B85" s="14" t="s">
        <v>153</v>
      </c>
    </row>
    <row r="86" spans="2:13" ht="28.8" x14ac:dyDescent="0.3">
      <c r="B86" s="160" t="s">
        <v>49</v>
      </c>
      <c r="C86" s="66"/>
      <c r="D86" s="67">
        <v>17</v>
      </c>
      <c r="E86" s="68">
        <v>3.2</v>
      </c>
      <c r="F86" s="67">
        <v>0.25</v>
      </c>
      <c r="G86" s="69">
        <v>1</v>
      </c>
      <c r="H86" s="70"/>
      <c r="I86" s="71"/>
      <c r="J86" s="169">
        <f>G86*F86*E86*D86</f>
        <v>13.600000000000001</v>
      </c>
      <c r="K86" s="153"/>
      <c r="L86" s="155" t="s">
        <v>29</v>
      </c>
      <c r="M86" s="156">
        <f>J86</f>
        <v>13.600000000000001</v>
      </c>
    </row>
    <row r="87" spans="2:13" ht="14.4" x14ac:dyDescent="0.3">
      <c r="B87" s="137"/>
      <c r="C87" s="8"/>
      <c r="D87" s="37">
        <v>2.7879999999999998</v>
      </c>
      <c r="E87" s="49">
        <v>3.2</v>
      </c>
      <c r="F87" s="37">
        <v>0.25</v>
      </c>
      <c r="G87" s="38">
        <v>1</v>
      </c>
      <c r="H87" s="33"/>
      <c r="I87" s="34"/>
      <c r="J87" s="162">
        <f>G87*F87*E87*D87</f>
        <v>2.2303999999999999</v>
      </c>
      <c r="K87" s="144"/>
      <c r="L87" s="146" t="s">
        <v>29</v>
      </c>
      <c r="M87" s="157">
        <f>J87</f>
        <v>2.2303999999999999</v>
      </c>
    </row>
    <row r="88" spans="2:13" ht="14.4" x14ac:dyDescent="0.3">
      <c r="B88" s="74"/>
      <c r="C88" s="8"/>
      <c r="D88" s="37">
        <v>9.57</v>
      </c>
      <c r="E88" s="49">
        <v>3.2</v>
      </c>
      <c r="F88" s="37">
        <v>0.25</v>
      </c>
      <c r="G88" s="38">
        <v>1</v>
      </c>
      <c r="H88" s="33"/>
      <c r="I88" s="34"/>
      <c r="J88" s="34">
        <f>G88*F88*E88*D88</f>
        <v>7.6560000000000006</v>
      </c>
      <c r="K88" s="33"/>
      <c r="L88" s="35" t="s">
        <v>29</v>
      </c>
      <c r="M88" s="138">
        <f>J88</f>
        <v>7.6560000000000006</v>
      </c>
    </row>
    <row r="89" spans="2:13" ht="14.4" x14ac:dyDescent="0.3">
      <c r="B89" s="161"/>
      <c r="C89" s="7"/>
      <c r="D89" s="37">
        <v>0.96</v>
      </c>
      <c r="E89" s="49">
        <v>0.35</v>
      </c>
      <c r="F89" s="37">
        <v>0.19</v>
      </c>
      <c r="G89" s="38">
        <v>11</v>
      </c>
      <c r="H89" s="33"/>
      <c r="I89" s="34"/>
      <c r="J89" s="40">
        <f>G89*F89*E89*D89</f>
        <v>0.70223999999999986</v>
      </c>
      <c r="K89" s="39"/>
      <c r="L89" s="41" t="s">
        <v>29</v>
      </c>
      <c r="M89" s="75">
        <f>J89</f>
        <v>0.70223999999999986</v>
      </c>
    </row>
    <row r="90" spans="2:13" ht="15" thickBot="1" x14ac:dyDescent="0.35">
      <c r="B90" s="89" t="s">
        <v>44</v>
      </c>
      <c r="C90" s="76"/>
      <c r="D90" s="77"/>
      <c r="E90" s="107"/>
      <c r="F90" s="77"/>
      <c r="G90" s="79"/>
      <c r="H90" s="80"/>
      <c r="I90" s="87"/>
      <c r="J90" s="87"/>
      <c r="K90" s="80"/>
      <c r="L90" s="139" t="s">
        <v>29</v>
      </c>
      <c r="M90" s="140">
        <f>SUM(M86:M89)</f>
        <v>24.188640000000003</v>
      </c>
    </row>
    <row r="91" spans="2:13" ht="15" thickBot="1" x14ac:dyDescent="0.35">
      <c r="B91" s="14" t="s">
        <v>153</v>
      </c>
      <c r="C91" s="101"/>
      <c r="D91" s="61"/>
      <c r="E91" s="102"/>
      <c r="F91" s="61"/>
      <c r="G91" s="103"/>
      <c r="H91" s="61"/>
      <c r="I91" s="85"/>
      <c r="J91" s="85"/>
      <c r="K91" s="61"/>
      <c r="L91" s="104"/>
      <c r="M91" s="105"/>
    </row>
    <row r="92" spans="2:13" ht="28.8" x14ac:dyDescent="0.3">
      <c r="B92" s="160" t="s">
        <v>51</v>
      </c>
      <c r="C92" s="66"/>
      <c r="D92" s="67">
        <v>9.32</v>
      </c>
      <c r="E92" s="68">
        <v>3.35</v>
      </c>
      <c r="F92" s="67">
        <v>0.12</v>
      </c>
      <c r="G92" s="69">
        <v>1</v>
      </c>
      <c r="H92" s="70"/>
      <c r="I92" s="71"/>
      <c r="J92" s="71">
        <f>G92*F92*E92*D92</f>
        <v>3.7466399999999997</v>
      </c>
      <c r="K92" s="153"/>
      <c r="L92" s="155" t="s">
        <v>29</v>
      </c>
      <c r="M92" s="156">
        <f>J92</f>
        <v>3.7466399999999997</v>
      </c>
    </row>
    <row r="93" spans="2:13" ht="14.4" x14ac:dyDescent="0.3">
      <c r="B93" s="161"/>
      <c r="C93" s="7"/>
      <c r="D93" s="37"/>
      <c r="E93" s="49"/>
      <c r="F93" s="37"/>
      <c r="G93" s="38"/>
      <c r="H93" s="33"/>
      <c r="I93" s="34"/>
      <c r="J93" s="40"/>
      <c r="K93" s="147"/>
      <c r="L93" s="35"/>
      <c r="M93" s="138"/>
    </row>
    <row r="94" spans="2:13" ht="15" thickBot="1" x14ac:dyDescent="0.35">
      <c r="B94" s="89" t="s">
        <v>50</v>
      </c>
      <c r="C94" s="76"/>
      <c r="D94" s="77"/>
      <c r="E94" s="107"/>
      <c r="F94" s="77"/>
      <c r="G94" s="79"/>
      <c r="H94" s="80"/>
      <c r="I94" s="87"/>
      <c r="J94" s="87"/>
      <c r="K94" s="80"/>
      <c r="L94" s="139" t="s">
        <v>29</v>
      </c>
      <c r="M94" s="140">
        <f>SUM(M92:M93)</f>
        <v>3.7466399999999997</v>
      </c>
    </row>
    <row r="95" spans="2:13" ht="14.4" x14ac:dyDescent="0.3">
      <c r="B95" s="168"/>
      <c r="C95" s="101"/>
      <c r="D95" s="61"/>
      <c r="E95" s="102"/>
      <c r="F95" s="61"/>
      <c r="G95" s="103"/>
      <c r="H95" s="61"/>
      <c r="I95" s="85"/>
      <c r="J95" s="85"/>
      <c r="K95" s="61"/>
      <c r="L95" s="104"/>
      <c r="M95" s="105"/>
    </row>
    <row r="96" spans="2:13" ht="15" thickBot="1" x14ac:dyDescent="0.35">
      <c r="B96" s="14" t="s">
        <v>240</v>
      </c>
      <c r="C96" s="101"/>
      <c r="D96" s="61"/>
      <c r="E96" s="102"/>
      <c r="F96" s="61"/>
      <c r="G96" s="103"/>
      <c r="H96" s="61"/>
      <c r="I96" s="85"/>
      <c r="J96" s="85"/>
      <c r="K96" s="61"/>
      <c r="L96" s="104"/>
      <c r="M96" s="105"/>
    </row>
    <row r="97" spans="2:13" ht="15" thickBot="1" x14ac:dyDescent="0.35">
      <c r="B97" s="373" t="s">
        <v>244</v>
      </c>
      <c r="C97" s="374"/>
      <c r="D97" s="375"/>
      <c r="E97" s="376"/>
      <c r="F97" s="375"/>
      <c r="G97" s="377"/>
      <c r="H97" s="375"/>
      <c r="I97" s="375"/>
      <c r="J97" s="375"/>
      <c r="K97" s="375"/>
      <c r="L97" s="378"/>
      <c r="M97" s="379"/>
    </row>
    <row r="98" spans="2:13" ht="29.4" thickBot="1" x14ac:dyDescent="0.35">
      <c r="B98" s="160" t="s">
        <v>241</v>
      </c>
      <c r="C98" s="66"/>
      <c r="D98" s="67">
        <v>9.51</v>
      </c>
      <c r="E98" s="68">
        <v>3.24</v>
      </c>
      <c r="F98" s="67">
        <v>0.2</v>
      </c>
      <c r="G98" s="69">
        <v>1</v>
      </c>
      <c r="H98" s="70"/>
      <c r="I98" s="71"/>
      <c r="J98" s="71">
        <f>G98*F98*E98*D98</f>
        <v>6.1624800000000013</v>
      </c>
      <c r="K98" s="153"/>
      <c r="L98" s="155" t="s">
        <v>29</v>
      </c>
      <c r="M98" s="156">
        <f>J98</f>
        <v>6.1624800000000013</v>
      </c>
    </row>
    <row r="99" spans="2:13" ht="29.4" thickBot="1" x14ac:dyDescent="0.35">
      <c r="B99" s="160" t="s">
        <v>243</v>
      </c>
      <c r="C99" s="7"/>
      <c r="D99" s="37">
        <v>5.0119999999999996</v>
      </c>
      <c r="E99" s="49">
        <v>3.24</v>
      </c>
      <c r="F99" s="37">
        <v>0.2</v>
      </c>
      <c r="G99" s="38">
        <v>1</v>
      </c>
      <c r="H99" s="33"/>
      <c r="I99" s="34"/>
      <c r="J99" s="71">
        <f t="shared" ref="J99:J101" si="12">G99*F99*E99*D99</f>
        <v>3.2477760000000004</v>
      </c>
      <c r="K99" s="153"/>
      <c r="L99" s="155" t="s">
        <v>29</v>
      </c>
      <c r="M99" s="156">
        <f t="shared" ref="M99:M101" si="13">J99</f>
        <v>3.2477760000000004</v>
      </c>
    </row>
    <row r="100" spans="2:13" ht="15" thickBot="1" x14ac:dyDescent="0.35">
      <c r="B100" s="281"/>
      <c r="C100" s="7"/>
      <c r="D100" s="31">
        <v>9.6999999999999993</v>
      </c>
      <c r="E100" s="42">
        <v>3.24</v>
      </c>
      <c r="F100" s="31">
        <v>0.2</v>
      </c>
      <c r="G100" s="32">
        <v>1</v>
      </c>
      <c r="H100" s="33"/>
      <c r="I100" s="34"/>
      <c r="J100" s="71">
        <f t="shared" si="12"/>
        <v>6.2856000000000005</v>
      </c>
      <c r="K100" s="153"/>
      <c r="L100" s="155" t="s">
        <v>29</v>
      </c>
      <c r="M100" s="156">
        <f t="shared" si="13"/>
        <v>6.2856000000000005</v>
      </c>
    </row>
    <row r="101" spans="2:13" ht="14.4" x14ac:dyDescent="0.3">
      <c r="B101" s="281"/>
      <c r="C101" s="7"/>
      <c r="D101" s="31">
        <v>5.67</v>
      </c>
      <c r="E101" s="42">
        <v>1.56</v>
      </c>
      <c r="F101" s="31">
        <v>0.2</v>
      </c>
      <c r="G101" s="32">
        <v>1</v>
      </c>
      <c r="H101" s="33"/>
      <c r="I101" s="34"/>
      <c r="J101" s="71">
        <f t="shared" si="12"/>
        <v>1.7690400000000004</v>
      </c>
      <c r="K101" s="153"/>
      <c r="L101" s="155" t="s">
        <v>29</v>
      </c>
      <c r="M101" s="156">
        <f t="shared" si="13"/>
        <v>1.7690400000000004</v>
      </c>
    </row>
    <row r="102" spans="2:13" ht="14.4" x14ac:dyDescent="0.3">
      <c r="B102" s="281"/>
      <c r="C102" s="7"/>
      <c r="D102" s="31"/>
      <c r="E102" s="42"/>
      <c r="F102" s="31"/>
      <c r="G102" s="32"/>
      <c r="H102" s="61"/>
      <c r="I102" s="62"/>
      <c r="J102" s="62"/>
      <c r="K102" s="144"/>
      <c r="L102" s="146"/>
      <c r="M102" s="157"/>
    </row>
    <row r="103" spans="2:13" ht="15" thickBot="1" x14ac:dyDescent="0.35">
      <c r="B103" s="106" t="s">
        <v>50</v>
      </c>
      <c r="C103" s="76"/>
      <c r="D103" s="77"/>
      <c r="E103" s="107"/>
      <c r="F103" s="77"/>
      <c r="G103" s="79"/>
      <c r="H103" s="80"/>
      <c r="I103" s="87"/>
      <c r="J103" s="87"/>
      <c r="K103" s="80"/>
      <c r="L103" s="139" t="s">
        <v>29</v>
      </c>
      <c r="M103" s="140">
        <f>SUM(M98:M102)</f>
        <v>17.464896000000003</v>
      </c>
    </row>
    <row r="104" spans="2:13" ht="14.4" x14ac:dyDescent="0.3">
      <c r="B104" s="168"/>
      <c r="C104" s="101"/>
      <c r="D104" s="61"/>
      <c r="E104" s="102"/>
      <c r="F104" s="61"/>
      <c r="G104" s="103"/>
      <c r="H104" s="61"/>
      <c r="I104" s="85"/>
      <c r="J104" s="85"/>
      <c r="K104" s="61"/>
      <c r="L104" s="104"/>
      <c r="M104" s="105"/>
    </row>
    <row r="105" spans="2:13" ht="15" thickBot="1" x14ac:dyDescent="0.35">
      <c r="B105" s="14" t="s">
        <v>341</v>
      </c>
      <c r="C105" s="101"/>
      <c r="D105" s="61"/>
      <c r="E105" s="102"/>
      <c r="F105" s="61"/>
      <c r="G105" s="103"/>
      <c r="H105" s="61"/>
      <c r="I105" s="85"/>
      <c r="J105" s="85"/>
      <c r="K105" s="61"/>
      <c r="L105" s="104"/>
      <c r="M105" s="105"/>
    </row>
    <row r="106" spans="2:13" ht="15" thickBot="1" x14ac:dyDescent="0.35">
      <c r="B106" s="373"/>
      <c r="C106" s="374"/>
      <c r="D106" s="375"/>
      <c r="E106" s="376"/>
      <c r="F106" s="375"/>
      <c r="G106" s="377"/>
      <c r="H106" s="375"/>
      <c r="I106" s="375"/>
      <c r="J106" s="375"/>
      <c r="K106" s="375"/>
      <c r="L106" s="378"/>
      <c r="M106" s="379"/>
    </row>
    <row r="107" spans="2:13" ht="43.8" thickBot="1" x14ac:dyDescent="0.35">
      <c r="B107" s="160" t="s">
        <v>342</v>
      </c>
      <c r="C107" s="7"/>
      <c r="D107" s="37">
        <v>1.2</v>
      </c>
      <c r="E107" s="49">
        <v>0.4</v>
      </c>
      <c r="F107" s="37">
        <v>0.2</v>
      </c>
      <c r="G107" s="38">
        <v>2</v>
      </c>
      <c r="H107" s="33"/>
      <c r="I107" s="34"/>
      <c r="J107" s="71">
        <f t="shared" ref="J107" si="14">G107*F107*E107*D107</f>
        <v>0.19200000000000003</v>
      </c>
      <c r="K107" s="153"/>
      <c r="L107" s="155" t="s">
        <v>29</v>
      </c>
      <c r="M107" s="156">
        <f t="shared" ref="M107" si="15">J107</f>
        <v>0.19200000000000003</v>
      </c>
    </row>
    <row r="108" spans="2:13" ht="14.4" x14ac:dyDescent="0.3">
      <c r="B108" s="281" t="s">
        <v>426</v>
      </c>
      <c r="C108" s="7"/>
      <c r="D108" s="31">
        <v>4.6900000000000004</v>
      </c>
      <c r="E108" s="42">
        <v>0.8</v>
      </c>
      <c r="F108" s="31">
        <v>0.2</v>
      </c>
      <c r="G108" s="32">
        <v>18</v>
      </c>
      <c r="H108" s="61"/>
      <c r="I108" s="62"/>
      <c r="J108" s="71">
        <f t="shared" ref="J108" si="16">G108*F108*E108*D108</f>
        <v>13.507200000000003</v>
      </c>
      <c r="K108" s="153"/>
      <c r="L108" s="155" t="s">
        <v>29</v>
      </c>
      <c r="M108" s="156">
        <f t="shared" ref="M108" si="17">J108</f>
        <v>13.507200000000003</v>
      </c>
    </row>
    <row r="109" spans="2:13" ht="15" thickBot="1" x14ac:dyDescent="0.35">
      <c r="B109" s="106" t="s">
        <v>50</v>
      </c>
      <c r="C109" s="76"/>
      <c r="D109" s="77"/>
      <c r="E109" s="107"/>
      <c r="F109" s="77"/>
      <c r="G109" s="79"/>
      <c r="H109" s="80"/>
      <c r="I109" s="87"/>
      <c r="J109" s="87"/>
      <c r="K109" s="80"/>
      <c r="L109" s="139" t="s">
        <v>29</v>
      </c>
      <c r="M109" s="140">
        <f>SUM(M107:M108)</f>
        <v>13.699200000000003</v>
      </c>
    </row>
    <row r="110" spans="2:13" ht="14.4" x14ac:dyDescent="0.3">
      <c r="B110" s="168"/>
      <c r="C110" s="101"/>
      <c r="D110" s="61"/>
      <c r="E110" s="102"/>
      <c r="F110" s="61"/>
      <c r="G110" s="103"/>
      <c r="H110" s="61"/>
      <c r="I110" s="85"/>
      <c r="J110" s="85"/>
      <c r="K110" s="61"/>
      <c r="L110" s="104"/>
      <c r="M110" s="105"/>
    </row>
    <row r="111" spans="2:13" ht="14.4" x14ac:dyDescent="0.3">
      <c r="B111" s="168"/>
      <c r="C111" s="101"/>
      <c r="D111" s="61"/>
      <c r="E111" s="102"/>
      <c r="F111" s="61"/>
      <c r="G111" s="103"/>
      <c r="H111" s="61"/>
      <c r="I111" s="85"/>
      <c r="J111" s="85"/>
      <c r="K111" s="61"/>
      <c r="L111" s="104"/>
      <c r="M111" s="105"/>
    </row>
    <row r="112" spans="2:13" ht="14.4" x14ac:dyDescent="0.3">
      <c r="B112" s="168"/>
      <c r="C112" s="101"/>
      <c r="D112" s="61"/>
      <c r="E112" s="102"/>
      <c r="F112" s="61"/>
      <c r="G112" s="103"/>
      <c r="H112" s="61"/>
      <c r="I112" s="85"/>
      <c r="J112" s="85"/>
      <c r="K112" s="61"/>
      <c r="L112" s="104"/>
      <c r="M112" s="105"/>
    </row>
    <row r="113" spans="1:13" ht="13.8" thickBot="1" x14ac:dyDescent="0.3">
      <c r="B113" s="14" t="s">
        <v>152</v>
      </c>
    </row>
    <row r="114" spans="1:13" ht="15" thickBot="1" x14ac:dyDescent="0.3">
      <c r="B114" s="128" t="s">
        <v>47</v>
      </c>
      <c r="C114" s="129"/>
      <c r="D114" s="130"/>
      <c r="E114" s="131"/>
      <c r="F114" s="132"/>
      <c r="G114" s="133"/>
      <c r="H114" s="134"/>
      <c r="I114" s="134"/>
      <c r="J114" s="134"/>
      <c r="K114" s="134"/>
      <c r="L114" s="135"/>
      <c r="M114" s="136"/>
    </row>
    <row r="115" spans="1:13" ht="28.8" x14ac:dyDescent="0.3">
      <c r="A115" s="14" t="s">
        <v>423</v>
      </c>
      <c r="B115" s="160" t="s">
        <v>48</v>
      </c>
      <c r="C115" s="66"/>
      <c r="D115" s="67">
        <v>27.91</v>
      </c>
      <c r="E115" s="68">
        <v>0.2</v>
      </c>
      <c r="F115" s="67">
        <v>0.8</v>
      </c>
      <c r="G115" s="69">
        <v>1</v>
      </c>
      <c r="H115" s="70"/>
      <c r="I115" s="71"/>
      <c r="J115" s="169">
        <f t="shared" ref="J115:J119" si="18">G115*F115*E115*D115</f>
        <v>4.4656000000000011</v>
      </c>
      <c r="K115" s="153"/>
      <c r="L115" s="155" t="s">
        <v>29</v>
      </c>
      <c r="M115" s="156">
        <f t="shared" ref="M115:M119" si="19">J115</f>
        <v>4.4656000000000011</v>
      </c>
    </row>
    <row r="116" spans="1:13" ht="14.4" x14ac:dyDescent="0.3">
      <c r="A116" s="14" t="s">
        <v>424</v>
      </c>
      <c r="B116" s="137" t="s">
        <v>425</v>
      </c>
      <c r="C116" s="8"/>
      <c r="D116" s="37">
        <v>4.6900000000000004</v>
      </c>
      <c r="E116" s="49">
        <v>0.36</v>
      </c>
      <c r="F116" s="37">
        <v>0.19</v>
      </c>
      <c r="G116" s="38">
        <v>18</v>
      </c>
      <c r="H116" s="33"/>
      <c r="I116" s="34"/>
      <c r="J116" s="34">
        <f t="shared" si="18"/>
        <v>5.7743279999999997</v>
      </c>
      <c r="K116" s="33"/>
      <c r="L116" s="35" t="s">
        <v>29</v>
      </c>
      <c r="M116" s="36">
        <f t="shared" si="19"/>
        <v>5.7743279999999997</v>
      </c>
    </row>
    <row r="117" spans="1:13" ht="14.4" x14ac:dyDescent="0.3">
      <c r="B117" s="137" t="s">
        <v>431</v>
      </c>
      <c r="C117" s="8"/>
      <c r="D117" s="37">
        <v>4.6900000000000004</v>
      </c>
      <c r="E117" s="49">
        <v>2.2000000000000002</v>
      </c>
      <c r="F117" s="37">
        <v>0.19</v>
      </c>
      <c r="G117" s="38">
        <v>2</v>
      </c>
      <c r="H117" s="144"/>
      <c r="I117" s="162"/>
      <c r="J117" s="34">
        <f t="shared" si="18"/>
        <v>3.9208400000000005</v>
      </c>
      <c r="K117" s="33"/>
      <c r="L117" s="35" t="s">
        <v>29</v>
      </c>
      <c r="M117" s="36">
        <f t="shared" si="19"/>
        <v>3.9208400000000005</v>
      </c>
    </row>
    <row r="118" spans="1:13" ht="14.4" x14ac:dyDescent="0.3">
      <c r="A118" s="14" t="s">
        <v>436</v>
      </c>
      <c r="B118" s="137" t="s">
        <v>437</v>
      </c>
      <c r="C118" s="8"/>
      <c r="D118" s="37">
        <v>2.2000000000000002</v>
      </c>
      <c r="E118" s="49">
        <v>2.2000000000000002</v>
      </c>
      <c r="F118" s="37">
        <v>0.19</v>
      </c>
      <c r="G118" s="38">
        <v>1</v>
      </c>
      <c r="H118" s="144"/>
      <c r="I118" s="162"/>
      <c r="J118" s="34">
        <f t="shared" si="18"/>
        <v>0.9196000000000002</v>
      </c>
      <c r="K118" s="33"/>
      <c r="L118" s="35" t="s">
        <v>29</v>
      </c>
      <c r="M118" s="36">
        <f t="shared" si="19"/>
        <v>0.9196000000000002</v>
      </c>
    </row>
    <row r="119" spans="1:13" ht="14.4" x14ac:dyDescent="0.3">
      <c r="A119" s="14" t="s">
        <v>441</v>
      </c>
      <c r="B119" s="7" t="s">
        <v>442</v>
      </c>
      <c r="C119" s="7"/>
      <c r="D119" s="31">
        <v>1.46</v>
      </c>
      <c r="E119" s="42">
        <v>0.8</v>
      </c>
      <c r="F119" s="31">
        <v>0.19</v>
      </c>
      <c r="G119" s="32">
        <v>1</v>
      </c>
      <c r="H119" s="144"/>
      <c r="I119" s="162"/>
      <c r="J119" s="162">
        <f t="shared" si="18"/>
        <v>0.22192000000000003</v>
      </c>
      <c r="K119" s="144"/>
      <c r="L119" s="35" t="s">
        <v>29</v>
      </c>
      <c r="M119" s="157">
        <f t="shared" si="19"/>
        <v>0.22192000000000003</v>
      </c>
    </row>
    <row r="120" spans="1:13" ht="14.4" x14ac:dyDescent="0.3">
      <c r="A120" s="14"/>
      <c r="B120" s="161"/>
      <c r="C120" s="7"/>
      <c r="D120" s="31"/>
      <c r="E120" s="42"/>
      <c r="F120" s="31"/>
      <c r="G120" s="32"/>
      <c r="H120" s="144"/>
      <c r="I120" s="162"/>
      <c r="J120" s="162"/>
      <c r="K120" s="144"/>
      <c r="L120" s="146"/>
      <c r="M120" s="157"/>
    </row>
    <row r="121" spans="1:13" ht="15" thickBot="1" x14ac:dyDescent="0.35">
      <c r="B121" s="89" t="s">
        <v>44</v>
      </c>
      <c r="C121" s="76"/>
      <c r="D121" s="77"/>
      <c r="E121" s="107"/>
      <c r="F121" s="77"/>
      <c r="G121" s="79"/>
      <c r="H121" s="80"/>
      <c r="I121" s="87"/>
      <c r="J121" s="87"/>
      <c r="K121" s="80"/>
      <c r="L121" s="139" t="s">
        <v>29</v>
      </c>
      <c r="M121" s="140">
        <f>SUM(M115:M120)</f>
        <v>15.302288000000003</v>
      </c>
    </row>
    <row r="123" spans="1:13" ht="13.8" thickBot="1" x14ac:dyDescent="0.3"/>
    <row r="124" spans="1:13" ht="15" thickBot="1" x14ac:dyDescent="0.3">
      <c r="B124" s="128" t="s">
        <v>53</v>
      </c>
      <c r="C124" s="129"/>
      <c r="D124" s="130"/>
      <c r="E124" s="131"/>
      <c r="F124" s="132"/>
      <c r="G124" s="133"/>
      <c r="H124" s="134"/>
      <c r="I124" s="134"/>
      <c r="J124" s="134"/>
      <c r="K124" s="134"/>
      <c r="L124" s="135"/>
      <c r="M124" s="136"/>
    </row>
    <row r="125" spans="1:13" ht="28.8" x14ac:dyDescent="0.3">
      <c r="B125" s="160" t="s">
        <v>54</v>
      </c>
      <c r="C125" s="66"/>
      <c r="D125" s="67"/>
      <c r="E125" s="68"/>
      <c r="F125" s="67">
        <v>0.85</v>
      </c>
      <c r="G125" s="69">
        <v>9</v>
      </c>
      <c r="H125" s="70">
        <v>1.02</v>
      </c>
      <c r="I125" s="71"/>
      <c r="J125" s="71"/>
      <c r="K125" s="70"/>
      <c r="L125" s="72" t="s">
        <v>29</v>
      </c>
      <c r="M125" s="73">
        <f>H125*G125*F125</f>
        <v>7.8029999999999999</v>
      </c>
    </row>
    <row r="126" spans="1:13" ht="14.4" x14ac:dyDescent="0.3">
      <c r="B126" s="161"/>
      <c r="C126" s="7"/>
      <c r="D126" s="31"/>
      <c r="E126" s="42"/>
      <c r="F126" s="31"/>
      <c r="G126" s="32"/>
      <c r="H126" s="144"/>
      <c r="I126" s="162"/>
      <c r="J126" s="162"/>
      <c r="K126" s="144"/>
      <c r="L126" s="146"/>
      <c r="M126" s="157"/>
    </row>
    <row r="127" spans="1:13" ht="15" thickBot="1" x14ac:dyDescent="0.35">
      <c r="B127" s="89" t="s">
        <v>55</v>
      </c>
      <c r="C127" s="76"/>
      <c r="D127" s="77"/>
      <c r="E127" s="107"/>
      <c r="F127" s="77"/>
      <c r="G127" s="79"/>
      <c r="H127" s="80"/>
      <c r="I127" s="87"/>
      <c r="J127" s="87"/>
      <c r="K127" s="80"/>
      <c r="L127" s="139" t="s">
        <v>29</v>
      </c>
      <c r="M127" s="140">
        <f>SUM(M125:M125)</f>
        <v>7.8029999999999999</v>
      </c>
    </row>
    <row r="128" spans="1:13" ht="13.8" thickBot="1" x14ac:dyDescent="0.3"/>
    <row r="129" spans="2:13" ht="15" thickBot="1" x14ac:dyDescent="0.3">
      <c r="B129" s="128" t="s">
        <v>58</v>
      </c>
      <c r="C129" s="129"/>
      <c r="D129" s="130"/>
      <c r="E129" s="131"/>
      <c r="F129" s="132"/>
      <c r="G129" s="133"/>
      <c r="H129" s="134"/>
      <c r="I129" s="134"/>
      <c r="J129" s="134"/>
      <c r="K129" s="134"/>
      <c r="L129" s="135"/>
      <c r="M129" s="136"/>
    </row>
    <row r="130" spans="2:13" ht="14.4" x14ac:dyDescent="0.3">
      <c r="B130" s="160" t="s">
        <v>25</v>
      </c>
      <c r="C130" s="66"/>
      <c r="D130" s="67">
        <v>377.44</v>
      </c>
      <c r="E130" s="68">
        <v>0.15</v>
      </c>
      <c r="F130" s="67">
        <v>3.64</v>
      </c>
      <c r="G130" s="69">
        <v>1</v>
      </c>
      <c r="H130" s="70"/>
      <c r="I130" s="71"/>
      <c r="J130" s="71">
        <f>G130*F130*E130*D130</f>
        <v>206.08224000000001</v>
      </c>
      <c r="K130" s="70"/>
      <c r="L130" s="72" t="s">
        <v>29</v>
      </c>
      <c r="M130" s="73">
        <f>J130</f>
        <v>206.08224000000001</v>
      </c>
    </row>
    <row r="131" spans="2:13" ht="14.4" x14ac:dyDescent="0.3">
      <c r="B131" s="176"/>
      <c r="C131" s="8"/>
      <c r="D131" s="37"/>
      <c r="E131" s="49"/>
      <c r="F131" s="37"/>
      <c r="G131" s="38"/>
      <c r="H131" s="61"/>
      <c r="I131" s="62"/>
      <c r="J131" s="62"/>
      <c r="K131" s="61"/>
      <c r="L131" s="63"/>
      <c r="M131" s="177"/>
    </row>
    <row r="132" spans="2:13" ht="14.4" x14ac:dyDescent="0.3">
      <c r="B132" s="176"/>
      <c r="C132" s="8"/>
      <c r="D132" s="37"/>
      <c r="E132" s="49"/>
      <c r="F132" s="37"/>
      <c r="G132" s="38"/>
      <c r="H132" s="147"/>
      <c r="I132" s="34"/>
      <c r="J132" s="34"/>
      <c r="K132" s="33"/>
      <c r="L132" s="35"/>
      <c r="M132" s="36"/>
    </row>
    <row r="133" spans="2:13" ht="14.4" x14ac:dyDescent="0.3">
      <c r="B133" s="161"/>
      <c r="C133" s="7"/>
      <c r="D133" s="31"/>
      <c r="E133" s="42"/>
      <c r="F133" s="31"/>
      <c r="G133" s="32"/>
      <c r="H133" s="144"/>
      <c r="I133" s="162"/>
      <c r="J133" s="162"/>
      <c r="K133" s="144"/>
      <c r="L133" s="146"/>
      <c r="M133" s="157"/>
    </row>
    <row r="134" spans="2:13" ht="15" thickBot="1" x14ac:dyDescent="0.35">
      <c r="B134" s="89" t="s">
        <v>59</v>
      </c>
      <c r="C134" s="76"/>
      <c r="D134" s="77"/>
      <c r="E134" s="107"/>
      <c r="F134" s="77"/>
      <c r="G134" s="79"/>
      <c r="H134" s="80"/>
      <c r="I134" s="87"/>
      <c r="J134" s="87"/>
      <c r="K134" s="80"/>
      <c r="L134" s="139" t="s">
        <v>29</v>
      </c>
      <c r="M134" s="140">
        <f>SUM(M130:M130)</f>
        <v>206.08224000000001</v>
      </c>
    </row>
    <row r="136" spans="2:13" ht="13.8" thickBot="1" x14ac:dyDescent="0.3"/>
    <row r="137" spans="2:13" ht="15" thickBot="1" x14ac:dyDescent="0.3">
      <c r="B137" s="128" t="s">
        <v>60</v>
      </c>
      <c r="C137" s="129"/>
      <c r="D137" s="130"/>
      <c r="E137" s="131"/>
      <c r="F137" s="132"/>
      <c r="G137" s="133"/>
      <c r="H137" s="134"/>
      <c r="I137" s="134"/>
      <c r="J137" s="134"/>
      <c r="K137" s="134"/>
      <c r="L137" s="135"/>
      <c r="M137" s="136"/>
    </row>
    <row r="138" spans="2:13" ht="14.4" x14ac:dyDescent="0.3">
      <c r="B138" s="160" t="s">
        <v>25</v>
      </c>
      <c r="C138" s="66"/>
      <c r="D138" s="67">
        <v>371.32</v>
      </c>
      <c r="E138" s="68">
        <v>0.15</v>
      </c>
      <c r="F138" s="67">
        <v>3.64</v>
      </c>
      <c r="G138" s="69">
        <v>1</v>
      </c>
      <c r="H138" s="70"/>
      <c r="I138" s="71"/>
      <c r="J138" s="71">
        <f>G138*F138*E138*D138</f>
        <v>202.74072000000001</v>
      </c>
      <c r="K138" s="70"/>
      <c r="L138" s="72" t="s">
        <v>29</v>
      </c>
      <c r="M138" s="73">
        <f>J138</f>
        <v>202.74072000000001</v>
      </c>
    </row>
    <row r="139" spans="2:13" ht="14.4" x14ac:dyDescent="0.3">
      <c r="B139" s="176"/>
      <c r="C139" s="8"/>
      <c r="D139" s="37"/>
      <c r="E139" s="49"/>
      <c r="F139" s="37"/>
      <c r="G139" s="38"/>
      <c r="H139" s="147"/>
      <c r="I139" s="34"/>
      <c r="J139" s="34"/>
      <c r="K139" s="33"/>
      <c r="L139" s="35"/>
      <c r="M139" s="36"/>
    </row>
    <row r="140" spans="2:13" ht="14.4" x14ac:dyDescent="0.3">
      <c r="B140" s="176"/>
      <c r="C140" s="8"/>
      <c r="D140" s="37"/>
      <c r="E140" s="49"/>
      <c r="F140" s="37"/>
      <c r="G140" s="38"/>
      <c r="H140" s="61"/>
      <c r="I140" s="62"/>
      <c r="J140" s="62"/>
      <c r="K140" s="61"/>
      <c r="L140" s="63"/>
      <c r="M140" s="177"/>
    </row>
    <row r="141" spans="2:13" ht="14.4" x14ac:dyDescent="0.3">
      <c r="B141" s="161"/>
      <c r="C141" s="7"/>
      <c r="D141" s="31"/>
      <c r="E141" s="42"/>
      <c r="F141" s="31"/>
      <c r="G141" s="32"/>
      <c r="H141" s="144"/>
      <c r="I141" s="162"/>
      <c r="J141" s="162"/>
      <c r="K141" s="144"/>
      <c r="L141" s="146"/>
      <c r="M141" s="157"/>
    </row>
    <row r="142" spans="2:13" ht="15" thickBot="1" x14ac:dyDescent="0.35">
      <c r="B142" s="89" t="s">
        <v>59</v>
      </c>
      <c r="C142" s="76"/>
      <c r="D142" s="77"/>
      <c r="E142" s="107"/>
      <c r="F142" s="77"/>
      <c r="G142" s="79"/>
      <c r="H142" s="80"/>
      <c r="I142" s="87"/>
      <c r="J142" s="87"/>
      <c r="K142" s="80"/>
      <c r="L142" s="139" t="s">
        <v>29</v>
      </c>
      <c r="M142" s="140">
        <f>SUM(M138:M138)</f>
        <v>202.74072000000001</v>
      </c>
    </row>
    <row r="146" spans="2:13" ht="13.8" thickBot="1" x14ac:dyDescent="0.3"/>
    <row r="147" spans="2:13" ht="15" thickBot="1" x14ac:dyDescent="0.3">
      <c r="B147" s="128" t="s">
        <v>56</v>
      </c>
      <c r="C147" s="129"/>
      <c r="D147" s="130"/>
      <c r="E147" s="131"/>
      <c r="F147" s="132"/>
      <c r="G147" s="133"/>
      <c r="H147" s="134"/>
      <c r="I147" s="134"/>
      <c r="J147" s="134"/>
      <c r="K147" s="134"/>
      <c r="L147" s="135"/>
      <c r="M147" s="136"/>
    </row>
    <row r="148" spans="2:13" ht="28.8" x14ac:dyDescent="0.3">
      <c r="B148" s="160" t="s">
        <v>57</v>
      </c>
      <c r="C148" s="66"/>
      <c r="D148" s="67">
        <v>7.57</v>
      </c>
      <c r="E148" s="68">
        <v>1.36</v>
      </c>
      <c r="F148" s="67">
        <v>0.11</v>
      </c>
      <c r="G148" s="69">
        <v>1</v>
      </c>
      <c r="H148" s="70"/>
      <c r="I148" s="71"/>
      <c r="J148" s="71">
        <f>G148*F148*E148*D148</f>
        <v>1.1324720000000001</v>
      </c>
      <c r="K148" s="70"/>
      <c r="L148" s="72" t="s">
        <v>29</v>
      </c>
      <c r="M148" s="73">
        <f>J148</f>
        <v>1.1324720000000001</v>
      </c>
    </row>
    <row r="149" spans="2:13" ht="14.4" x14ac:dyDescent="0.3">
      <c r="B149" s="161"/>
      <c r="C149" s="7"/>
      <c r="D149" s="31"/>
      <c r="E149" s="42"/>
      <c r="F149" s="31"/>
      <c r="G149" s="32"/>
      <c r="H149" s="144"/>
      <c r="I149" s="162"/>
      <c r="J149" s="162"/>
      <c r="K149" s="144"/>
      <c r="L149" s="146"/>
      <c r="M149" s="157"/>
    </row>
    <row r="150" spans="2:13" ht="15" thickBot="1" x14ac:dyDescent="0.35">
      <c r="B150" s="89" t="s">
        <v>107</v>
      </c>
      <c r="C150" s="76"/>
      <c r="D150" s="77"/>
      <c r="E150" s="107"/>
      <c r="F150" s="77"/>
      <c r="G150" s="79"/>
      <c r="H150" s="80"/>
      <c r="I150" s="87"/>
      <c r="J150" s="87"/>
      <c r="K150" s="80"/>
      <c r="L150" s="139" t="s">
        <v>29</v>
      </c>
      <c r="M150" s="140">
        <f>SUM(M148:M148)</f>
        <v>1.1324720000000001</v>
      </c>
    </row>
    <row r="152" spans="2:13" ht="14.4" customHeight="1" x14ac:dyDescent="0.25">
      <c r="B152" s="570" t="s">
        <v>1</v>
      </c>
      <c r="C152" s="10" t="s">
        <v>0</v>
      </c>
      <c r="D152" s="9" t="s">
        <v>12</v>
      </c>
      <c r="E152" s="9" t="s">
        <v>155</v>
      </c>
      <c r="F152" s="9" t="s">
        <v>2</v>
      </c>
      <c r="G152" s="9" t="s">
        <v>6</v>
      </c>
      <c r="H152" s="12" t="s">
        <v>5</v>
      </c>
      <c r="I152" s="11" t="s">
        <v>13</v>
      </c>
      <c r="J152" s="11" t="s">
        <v>26</v>
      </c>
      <c r="K152" s="12" t="s">
        <v>14</v>
      </c>
      <c r="L152" s="570" t="s">
        <v>7</v>
      </c>
      <c r="M152" s="572" t="s">
        <v>8</v>
      </c>
    </row>
    <row r="153" spans="2:13" ht="15" thickBot="1" x14ac:dyDescent="0.35">
      <c r="B153" s="571"/>
      <c r="C153" s="18" t="s">
        <v>9</v>
      </c>
      <c r="D153" s="19" t="s">
        <v>10</v>
      </c>
      <c r="E153" s="19" t="s">
        <v>10</v>
      </c>
      <c r="F153" s="19" t="s">
        <v>10</v>
      </c>
      <c r="G153" s="18" t="s">
        <v>9</v>
      </c>
      <c r="H153" s="20" t="s">
        <v>11</v>
      </c>
      <c r="I153" s="21" t="s">
        <v>11</v>
      </c>
      <c r="J153" s="21" t="s">
        <v>27</v>
      </c>
      <c r="K153" s="20" t="s">
        <v>15</v>
      </c>
      <c r="L153" s="571"/>
      <c r="M153" s="573"/>
    </row>
    <row r="154" spans="2:13" x14ac:dyDescent="0.25">
      <c r="B154" s="567" t="s">
        <v>157</v>
      </c>
      <c r="C154" s="568"/>
      <c r="D154" s="568"/>
      <c r="E154" s="568"/>
      <c r="F154" s="568"/>
      <c r="G154" s="568"/>
      <c r="H154" s="568"/>
      <c r="I154" s="568"/>
      <c r="J154" s="568"/>
      <c r="K154" s="568"/>
      <c r="L154" s="568"/>
      <c r="M154" s="569"/>
    </row>
    <row r="155" spans="2:13" ht="14.4" x14ac:dyDescent="0.3">
      <c r="B155" s="8" t="s">
        <v>158</v>
      </c>
      <c r="C155" s="8"/>
      <c r="D155" s="37"/>
      <c r="E155" s="49">
        <v>0.05</v>
      </c>
      <c r="F155" s="37"/>
      <c r="G155" s="38">
        <v>1</v>
      </c>
      <c r="H155" s="8">
        <v>8.1300000000000008</v>
      </c>
      <c r="I155" s="37"/>
      <c r="J155" s="49">
        <f>H155*G155*E155</f>
        <v>0.40650000000000008</v>
      </c>
      <c r="K155" s="37"/>
      <c r="L155" s="38" t="s">
        <v>29</v>
      </c>
      <c r="M155" s="38">
        <f>J155</f>
        <v>0.40650000000000008</v>
      </c>
    </row>
    <row r="156" spans="2:13" ht="14.4" x14ac:dyDescent="0.3">
      <c r="B156" s="8" t="s">
        <v>162</v>
      </c>
      <c r="C156" s="8"/>
      <c r="D156" s="37"/>
      <c r="E156" s="49">
        <v>0.05</v>
      </c>
      <c r="F156" s="37"/>
      <c r="G156" s="38">
        <v>1</v>
      </c>
      <c r="H156" s="8">
        <v>7.34</v>
      </c>
      <c r="I156" s="37"/>
      <c r="J156" s="49">
        <f t="shared" ref="J156:J161" si="20">H156*G156*E156</f>
        <v>0.36699999999999999</v>
      </c>
      <c r="K156" s="37"/>
      <c r="L156" s="38" t="s">
        <v>29</v>
      </c>
      <c r="M156" s="38">
        <f t="shared" ref="M156:M161" si="21">J156</f>
        <v>0.36699999999999999</v>
      </c>
    </row>
    <row r="157" spans="2:13" ht="14.4" x14ac:dyDescent="0.3">
      <c r="B157" s="8" t="s">
        <v>24</v>
      </c>
      <c r="C157" s="8"/>
      <c r="D157" s="37"/>
      <c r="E157" s="49">
        <v>0.05</v>
      </c>
      <c r="F157" s="37"/>
      <c r="G157" s="38">
        <v>1</v>
      </c>
      <c r="H157" s="291">
        <v>72</v>
      </c>
      <c r="I157" s="37"/>
      <c r="J157" s="49">
        <f t="shared" si="20"/>
        <v>3.6</v>
      </c>
      <c r="K157" s="37"/>
      <c r="L157" s="38" t="s">
        <v>29</v>
      </c>
      <c r="M157" s="38">
        <f t="shared" si="21"/>
        <v>3.6</v>
      </c>
    </row>
    <row r="158" spans="2:13" ht="14.4" x14ac:dyDescent="0.3">
      <c r="B158" s="8" t="s">
        <v>163</v>
      </c>
      <c r="C158" s="8"/>
      <c r="D158" s="37"/>
      <c r="E158" s="49">
        <v>0.05</v>
      </c>
      <c r="F158" s="37"/>
      <c r="G158" s="38">
        <v>1</v>
      </c>
      <c r="H158" s="291">
        <v>72</v>
      </c>
      <c r="I158" s="37"/>
      <c r="J158" s="49">
        <f t="shared" si="20"/>
        <v>3.6</v>
      </c>
      <c r="K158" s="37"/>
      <c r="L158" s="38" t="s">
        <v>29</v>
      </c>
      <c r="M158" s="38">
        <f t="shared" si="21"/>
        <v>3.6</v>
      </c>
    </row>
    <row r="159" spans="2:13" ht="14.4" x14ac:dyDescent="0.3">
      <c r="B159" s="8" t="s">
        <v>30</v>
      </c>
      <c r="C159" s="8"/>
      <c r="D159" s="37">
        <v>0.6</v>
      </c>
      <c r="E159" s="49">
        <v>0.4</v>
      </c>
      <c r="F159" s="37">
        <v>0.5</v>
      </c>
      <c r="G159" s="38">
        <v>4</v>
      </c>
      <c r="H159" s="8"/>
      <c r="I159" s="37"/>
      <c r="J159" s="49">
        <f>G159*F159*E159*D159</f>
        <v>0.48</v>
      </c>
      <c r="K159" s="37"/>
      <c r="L159" s="38" t="s">
        <v>29</v>
      </c>
      <c r="M159" s="38">
        <f t="shared" si="21"/>
        <v>0.48</v>
      </c>
    </row>
    <row r="160" spans="2:13" ht="14.4" x14ac:dyDescent="0.3">
      <c r="B160" s="8" t="s">
        <v>31</v>
      </c>
      <c r="C160" s="8"/>
      <c r="D160" s="37">
        <v>0.2</v>
      </c>
      <c r="E160" s="49">
        <v>0.1</v>
      </c>
      <c r="F160" s="37">
        <v>0.05</v>
      </c>
      <c r="G160" s="38">
        <v>6</v>
      </c>
      <c r="H160" s="8"/>
      <c r="I160" s="37"/>
      <c r="J160" s="49">
        <f>G160*F160*E160*D160</f>
        <v>6.0000000000000019E-3</v>
      </c>
      <c r="K160" s="37"/>
      <c r="L160" s="38" t="s">
        <v>29</v>
      </c>
      <c r="M160" s="38">
        <f t="shared" ref="M160" si="22">J160</f>
        <v>6.0000000000000019E-3</v>
      </c>
    </row>
    <row r="161" spans="2:13" ht="14.4" x14ac:dyDescent="0.3">
      <c r="B161" s="8" t="s">
        <v>32</v>
      </c>
      <c r="C161" s="8"/>
      <c r="D161" s="37"/>
      <c r="E161" s="49">
        <v>0.05</v>
      </c>
      <c r="F161" s="37"/>
      <c r="G161" s="38">
        <v>1</v>
      </c>
      <c r="H161" s="8">
        <v>36.32</v>
      </c>
      <c r="I161" s="37"/>
      <c r="J161" s="49">
        <f t="shared" si="20"/>
        <v>1.8160000000000001</v>
      </c>
      <c r="K161" s="37"/>
      <c r="L161" s="38" t="s">
        <v>29</v>
      </c>
      <c r="M161" s="38">
        <f t="shared" si="21"/>
        <v>1.8160000000000001</v>
      </c>
    </row>
    <row r="162" spans="2:13" ht="14.4" x14ac:dyDescent="0.3">
      <c r="B162" s="8" t="s">
        <v>25</v>
      </c>
      <c r="C162" s="8"/>
      <c r="D162" s="37"/>
      <c r="E162" s="49"/>
      <c r="F162" s="37"/>
      <c r="G162" s="38">
        <v>1</v>
      </c>
      <c r="H162" s="8"/>
      <c r="I162" s="37"/>
      <c r="J162" s="49">
        <f>18.31+4.8+206.08+202.74+45.24</f>
        <v>477.17</v>
      </c>
      <c r="K162" s="37"/>
      <c r="L162" s="38" t="s">
        <v>29</v>
      </c>
      <c r="M162" s="38">
        <f>J162*G162</f>
        <v>477.17</v>
      </c>
    </row>
    <row r="163" spans="2:13" ht="14.4" x14ac:dyDescent="0.3">
      <c r="B163" s="8" t="s">
        <v>128</v>
      </c>
      <c r="C163" s="8"/>
      <c r="D163" s="37"/>
      <c r="E163" s="49"/>
      <c r="F163" s="37"/>
      <c r="G163" s="38">
        <v>1</v>
      </c>
      <c r="H163" s="8"/>
      <c r="I163" s="37"/>
      <c r="J163" s="49">
        <f>6.92+24.19+3.75+4.47+7.8+1.13+17.46</f>
        <v>65.72</v>
      </c>
      <c r="K163" s="37"/>
      <c r="L163" s="38" t="s">
        <v>29</v>
      </c>
      <c r="M163" s="38">
        <f>J163</f>
        <v>65.72</v>
      </c>
    </row>
    <row r="164" spans="2:13" ht="14.4" x14ac:dyDescent="0.3">
      <c r="B164" s="8" t="s">
        <v>164</v>
      </c>
      <c r="C164" s="8"/>
      <c r="D164" s="37"/>
      <c r="E164" s="49">
        <v>0.05</v>
      </c>
      <c r="F164" s="37"/>
      <c r="G164" s="38">
        <v>1</v>
      </c>
      <c r="H164" s="8">
        <v>36.32</v>
      </c>
      <c r="I164" s="37"/>
      <c r="J164" s="49">
        <f>H164*G164*E164</f>
        <v>1.8160000000000001</v>
      </c>
      <c r="K164" s="37"/>
      <c r="L164" s="38" t="s">
        <v>29</v>
      </c>
      <c r="M164" s="38">
        <f>J164</f>
        <v>1.8160000000000001</v>
      </c>
    </row>
    <row r="165" spans="2:13" ht="14.4" x14ac:dyDescent="0.3">
      <c r="B165" s="8" t="s">
        <v>35</v>
      </c>
      <c r="C165" s="8"/>
      <c r="D165" s="37"/>
      <c r="E165" s="49">
        <v>0.05</v>
      </c>
      <c r="F165" s="37"/>
      <c r="G165" s="38">
        <v>1</v>
      </c>
      <c r="H165" s="8">
        <v>4227.3500000000004</v>
      </c>
      <c r="I165" s="37"/>
      <c r="J165" s="49">
        <f>H165*G165*E165</f>
        <v>211.36750000000004</v>
      </c>
      <c r="K165" s="37"/>
      <c r="L165" s="38" t="s">
        <v>29</v>
      </c>
      <c r="M165" s="38">
        <f>J165</f>
        <v>211.36750000000004</v>
      </c>
    </row>
    <row r="166" spans="2:13" ht="14.4" x14ac:dyDescent="0.3">
      <c r="B166" s="8" t="s">
        <v>45</v>
      </c>
      <c r="C166" s="8"/>
      <c r="D166" s="37">
        <v>31.6</v>
      </c>
      <c r="E166" s="49">
        <v>0.1</v>
      </c>
      <c r="F166" s="37">
        <v>0.3</v>
      </c>
      <c r="G166" s="38">
        <v>1</v>
      </c>
      <c r="H166" s="8"/>
      <c r="I166" s="37"/>
      <c r="J166" s="49">
        <f>G166*F166*E166*D166</f>
        <v>0.94799999999999995</v>
      </c>
      <c r="K166" s="37"/>
      <c r="L166" s="38" t="s">
        <v>29</v>
      </c>
      <c r="M166" s="38">
        <f>J166</f>
        <v>0.94799999999999995</v>
      </c>
    </row>
    <row r="167" spans="2:13" ht="14.4" x14ac:dyDescent="0.3">
      <c r="B167" s="8" t="s">
        <v>36</v>
      </c>
      <c r="C167" s="8"/>
      <c r="D167" s="37"/>
      <c r="E167" s="49">
        <v>0.05</v>
      </c>
      <c r="F167" s="37"/>
      <c r="G167" s="38">
        <v>1</v>
      </c>
      <c r="H167" s="8">
        <v>3425.5</v>
      </c>
      <c r="I167" s="37"/>
      <c r="J167" s="49">
        <f t="shared" ref="J167" si="23">H167*G167*E167</f>
        <v>171.27500000000001</v>
      </c>
      <c r="K167" s="37"/>
      <c r="L167" s="38" t="s">
        <v>29</v>
      </c>
      <c r="M167" s="38">
        <f t="shared" ref="M167" si="24">J167</f>
        <v>171.27500000000001</v>
      </c>
    </row>
    <row r="168" spans="2:13" ht="14.4" x14ac:dyDescent="0.3">
      <c r="B168" s="8"/>
      <c r="C168" s="8"/>
      <c r="D168" s="37"/>
      <c r="E168" s="49"/>
      <c r="F168" s="37"/>
      <c r="G168" s="38"/>
      <c r="H168" s="8"/>
      <c r="I168" s="37"/>
      <c r="J168" s="49"/>
      <c r="K168" s="37"/>
      <c r="L168" s="38"/>
      <c r="M168" s="38"/>
    </row>
    <row r="169" spans="2:13" ht="14.4" x14ac:dyDescent="0.3">
      <c r="B169" s="292" t="s">
        <v>165</v>
      </c>
      <c r="C169" s="292"/>
      <c r="D169" s="293"/>
      <c r="E169" s="294"/>
      <c r="F169" s="293"/>
      <c r="G169" s="295"/>
      <c r="H169" s="292"/>
      <c r="I169" s="293"/>
      <c r="J169" s="294"/>
      <c r="K169" s="293"/>
      <c r="L169" s="295" t="s">
        <v>29</v>
      </c>
      <c r="M169" s="38">
        <f>SUM(M155:M168)</f>
        <v>938.57200000000012</v>
      </c>
    </row>
    <row r="170" spans="2:13" ht="14.4" x14ac:dyDescent="0.3">
      <c r="B170" s="292" t="s">
        <v>166</v>
      </c>
      <c r="C170" s="292"/>
      <c r="D170" s="293"/>
      <c r="E170" s="294"/>
      <c r="F170" s="293"/>
      <c r="G170" s="295"/>
      <c r="H170" s="292"/>
      <c r="I170" s="293"/>
      <c r="J170" s="294"/>
      <c r="K170" s="293"/>
      <c r="L170" s="295" t="s">
        <v>29</v>
      </c>
      <c r="M170" s="38">
        <f>M169*0.3</f>
        <v>281.57160000000005</v>
      </c>
    </row>
    <row r="171" spans="2:13" ht="14.4" x14ac:dyDescent="0.3">
      <c r="B171" s="8"/>
      <c r="C171" s="8"/>
      <c r="D171" s="37"/>
      <c r="E171" s="49"/>
      <c r="F171" s="37"/>
      <c r="G171" s="38"/>
      <c r="H171" s="8"/>
      <c r="I171" s="37"/>
      <c r="J171" s="49"/>
      <c r="K171" s="37"/>
      <c r="L171" s="38"/>
      <c r="M171" s="38"/>
    </row>
    <row r="172" spans="2:13" ht="14.4" x14ac:dyDescent="0.3">
      <c r="B172" s="8"/>
      <c r="C172" s="7"/>
      <c r="D172" s="31"/>
      <c r="E172" s="42"/>
      <c r="F172" s="31"/>
      <c r="G172" s="32"/>
      <c r="H172" s="144"/>
      <c r="I172" s="162"/>
      <c r="J172" s="162"/>
      <c r="K172" s="144"/>
      <c r="L172" s="146"/>
      <c r="M172" s="157"/>
    </row>
    <row r="173" spans="2:13" ht="15" thickBot="1" x14ac:dyDescent="0.35">
      <c r="B173" s="89" t="s">
        <v>167</v>
      </c>
      <c r="C173" s="76"/>
      <c r="D173" s="77"/>
      <c r="E173" s="107"/>
      <c r="F173" s="77"/>
      <c r="G173" s="79"/>
      <c r="H173" s="80"/>
      <c r="I173" s="87"/>
      <c r="J173" s="87"/>
      <c r="K173" s="80"/>
      <c r="L173" s="139" t="s">
        <v>29</v>
      </c>
      <c r="M173" s="140">
        <f>M169+M170</f>
        <v>1220.1436000000001</v>
      </c>
    </row>
  </sheetData>
  <mergeCells count="7">
    <mergeCell ref="B154:M154"/>
    <mergeCell ref="B8:B9"/>
    <mergeCell ref="L8:L9"/>
    <mergeCell ref="M8:M9"/>
    <mergeCell ref="B152:B153"/>
    <mergeCell ref="L152:L153"/>
    <mergeCell ref="M152:M153"/>
  </mergeCells>
  <dataValidations count="1">
    <dataValidation type="list" allowBlank="1" showInputMessage="1" showErrorMessage="1" sqref="H11 H8:H9 H152:H153" xr:uid="{54AEF741-AF72-4EA0-8167-C6134B737D4E}">
      <formula1>"G,T,E,O"</formula1>
    </dataValidation>
  </dataValidation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E9FB-8239-46BC-AEB2-1FC0B670FA01}">
  <dimension ref="A2:M544"/>
  <sheetViews>
    <sheetView topLeftCell="A520" workbookViewId="0">
      <selection activeCell="E534" sqref="E534"/>
    </sheetView>
  </sheetViews>
  <sheetFormatPr defaultRowHeight="13.2" x14ac:dyDescent="0.25"/>
  <cols>
    <col min="2" max="2" width="20.77734375" customWidth="1"/>
    <col min="3" max="7" width="15.77734375" customWidth="1"/>
    <col min="8" max="8" width="12.77734375" customWidth="1"/>
    <col min="9" max="9" width="14.77734375" customWidth="1"/>
    <col min="10" max="10" width="12.77734375" customWidth="1"/>
    <col min="11" max="11" width="10.77734375" customWidth="1"/>
    <col min="12" max="12" width="12.77734375" customWidth="1"/>
  </cols>
  <sheetData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</row>
    <row r="7" spans="1:13" x14ac:dyDescent="0.25">
      <c r="B7" t="s">
        <v>177</v>
      </c>
      <c r="D7" s="14" t="s">
        <v>234</v>
      </c>
    </row>
    <row r="8" spans="1:13" x14ac:dyDescent="0.25">
      <c r="A8" s="22" t="s">
        <v>242</v>
      </c>
      <c r="B8" s="22" t="s">
        <v>235</v>
      </c>
      <c r="D8" s="14"/>
    </row>
    <row r="9" spans="1:13" ht="14.4" x14ac:dyDescent="0.25">
      <c r="B9" s="570" t="s">
        <v>1</v>
      </c>
      <c r="C9" s="10" t="s">
        <v>0</v>
      </c>
      <c r="D9" s="9" t="s">
        <v>12</v>
      </c>
      <c r="E9" s="9" t="s">
        <v>4</v>
      </c>
      <c r="F9" s="9" t="s">
        <v>38</v>
      </c>
      <c r="G9" s="9" t="s">
        <v>6</v>
      </c>
      <c r="H9" s="12" t="s">
        <v>5</v>
      </c>
      <c r="I9" s="11" t="s">
        <v>13</v>
      </c>
      <c r="J9" s="11" t="s">
        <v>26</v>
      </c>
      <c r="K9" s="12" t="s">
        <v>14</v>
      </c>
      <c r="L9" s="570" t="s">
        <v>7</v>
      </c>
      <c r="M9" s="572" t="s">
        <v>8</v>
      </c>
    </row>
    <row r="10" spans="1:13" ht="14.4" x14ac:dyDescent="0.3">
      <c r="B10" s="571"/>
      <c r="C10" s="18" t="s">
        <v>9</v>
      </c>
      <c r="D10" s="19" t="s">
        <v>10</v>
      </c>
      <c r="E10" s="19" t="s">
        <v>10</v>
      </c>
      <c r="F10" s="19" t="s">
        <v>10</v>
      </c>
      <c r="G10" s="18" t="s">
        <v>9</v>
      </c>
      <c r="H10" s="20" t="s">
        <v>11</v>
      </c>
      <c r="I10" s="21" t="s">
        <v>11</v>
      </c>
      <c r="J10" s="21" t="s">
        <v>27</v>
      </c>
      <c r="K10" s="20" t="s">
        <v>15</v>
      </c>
      <c r="L10" s="571"/>
      <c r="M10" s="573"/>
    </row>
    <row r="11" spans="1:13" ht="15.6" x14ac:dyDescent="0.25">
      <c r="B11" s="23" t="s">
        <v>211</v>
      </c>
      <c r="C11" s="24"/>
      <c r="D11" s="25"/>
      <c r="E11" s="24"/>
      <c r="F11" s="26"/>
      <c r="G11" s="27"/>
      <c r="H11" s="28"/>
      <c r="I11" s="28"/>
      <c r="J11" s="28"/>
      <c r="K11" s="28"/>
      <c r="L11" s="29"/>
      <c r="M11" s="30"/>
    </row>
    <row r="12" spans="1:13" ht="15" thickBot="1" x14ac:dyDescent="0.35">
      <c r="B12" s="43"/>
      <c r="C12" s="44"/>
      <c r="D12" s="45"/>
      <c r="E12" s="45"/>
      <c r="F12" s="45"/>
      <c r="G12" s="44"/>
      <c r="H12" s="46"/>
      <c r="I12" s="47"/>
      <c r="J12" s="47"/>
      <c r="K12" s="46"/>
      <c r="L12" s="46"/>
      <c r="M12" s="48"/>
    </row>
    <row r="13" spans="1:13" ht="14.4" x14ac:dyDescent="0.3">
      <c r="B13" s="148" t="s">
        <v>176</v>
      </c>
      <c r="C13" s="149"/>
      <c r="D13" s="150">
        <v>3.4</v>
      </c>
      <c r="E13" s="151">
        <v>3.4</v>
      </c>
      <c r="F13" s="150">
        <v>1.3</v>
      </c>
      <c r="G13" s="152">
        <v>11</v>
      </c>
      <c r="H13" s="153"/>
      <c r="I13" s="154"/>
      <c r="J13" s="71">
        <f>G13*F13*E13*D13</f>
        <v>165.30800000000002</v>
      </c>
      <c r="K13" s="153"/>
      <c r="L13" s="155" t="s">
        <v>29</v>
      </c>
      <c r="M13" s="156">
        <f>J13</f>
        <v>165.30800000000002</v>
      </c>
    </row>
    <row r="14" spans="1:13" ht="14.4" x14ac:dyDescent="0.3">
      <c r="B14" s="74" t="s">
        <v>178</v>
      </c>
      <c r="C14" s="7"/>
      <c r="D14" s="31">
        <v>3.4</v>
      </c>
      <c r="E14" s="42">
        <v>3.4</v>
      </c>
      <c r="F14" s="31">
        <v>2</v>
      </c>
      <c r="G14" s="32">
        <v>1</v>
      </c>
      <c r="H14" s="33"/>
      <c r="I14" s="34"/>
      <c r="J14" s="34">
        <f t="shared" ref="J14:J15" si="0">G14*F14*E14*D14</f>
        <v>23.119999999999997</v>
      </c>
      <c r="K14" s="144"/>
      <c r="L14" s="146" t="s">
        <v>29</v>
      </c>
      <c r="M14" s="157">
        <f t="shared" ref="M14:M15" si="1">J14</f>
        <v>23.119999999999997</v>
      </c>
    </row>
    <row r="15" spans="1:13" ht="14.4" x14ac:dyDescent="0.3">
      <c r="B15" s="137" t="s">
        <v>179</v>
      </c>
      <c r="C15" s="8"/>
      <c r="D15" s="37">
        <v>2.2000000000000002</v>
      </c>
      <c r="E15" s="49">
        <v>2.2000000000000002</v>
      </c>
      <c r="F15" s="31">
        <v>1.25</v>
      </c>
      <c r="G15" s="38">
        <v>3</v>
      </c>
      <c r="H15" s="39"/>
      <c r="I15" s="40"/>
      <c r="J15" s="34">
        <f t="shared" si="0"/>
        <v>18.150000000000002</v>
      </c>
      <c r="K15" s="144"/>
      <c r="L15" s="146" t="s">
        <v>29</v>
      </c>
      <c r="M15" s="157">
        <f t="shared" si="1"/>
        <v>18.150000000000002</v>
      </c>
    </row>
    <row r="16" spans="1:13" ht="14.4" x14ac:dyDescent="0.3">
      <c r="B16" s="137"/>
      <c r="C16" s="8"/>
      <c r="D16" s="37"/>
      <c r="E16" s="49"/>
      <c r="F16" s="31"/>
      <c r="G16" s="38"/>
      <c r="H16" s="39"/>
      <c r="I16" s="40"/>
      <c r="J16" s="34"/>
      <c r="K16" s="144"/>
      <c r="L16" s="146"/>
      <c r="M16" s="157"/>
    </row>
    <row r="17" spans="2:13" ht="15" thickBot="1" x14ac:dyDescent="0.35">
      <c r="B17" s="161"/>
      <c r="C17" s="57"/>
      <c r="D17" s="58"/>
      <c r="E17" s="59"/>
      <c r="F17" s="223"/>
      <c r="G17" s="60"/>
      <c r="H17" s="61"/>
      <c r="I17" s="62"/>
      <c r="J17" s="162"/>
      <c r="K17" s="144"/>
      <c r="L17" s="146"/>
      <c r="M17" s="157"/>
    </row>
    <row r="18" spans="2:13" ht="15" thickBot="1" x14ac:dyDescent="0.35">
      <c r="B18" s="224" t="s">
        <v>180</v>
      </c>
      <c r="C18" s="51"/>
      <c r="D18" s="52"/>
      <c r="E18" s="53"/>
      <c r="F18" s="52"/>
      <c r="G18" s="54"/>
      <c r="H18" s="55"/>
      <c r="I18" s="56"/>
      <c r="J18" s="56"/>
      <c r="K18" s="241"/>
      <c r="L18" s="90" t="s">
        <v>29</v>
      </c>
      <c r="M18" s="91">
        <f>SUM(M13:M17)</f>
        <v>206.57800000000003</v>
      </c>
    </row>
    <row r="21" spans="2:13" x14ac:dyDescent="0.25">
      <c r="B21" s="22" t="s">
        <v>181</v>
      </c>
      <c r="C21" s="14" t="s">
        <v>182</v>
      </c>
      <c r="D21" s="14"/>
      <c r="E21" s="14"/>
      <c r="F21" s="14"/>
      <c r="G21" s="14"/>
    </row>
    <row r="22" spans="2:13" x14ac:dyDescent="0.25">
      <c r="B22" s="14"/>
      <c r="C22" s="14" t="s">
        <v>183</v>
      </c>
      <c r="D22" s="14"/>
      <c r="E22" s="14"/>
      <c r="F22" s="14"/>
      <c r="G22" s="14"/>
    </row>
    <row r="23" spans="2:13" x14ac:dyDescent="0.25">
      <c r="B23" s="14"/>
      <c r="C23" s="14" t="s">
        <v>184</v>
      </c>
      <c r="D23" s="14"/>
      <c r="E23" s="14"/>
      <c r="F23" s="14"/>
      <c r="G23" s="14"/>
    </row>
    <row r="24" spans="2:13" x14ac:dyDescent="0.25">
      <c r="B24" s="14"/>
      <c r="C24" s="14" t="s">
        <v>185</v>
      </c>
      <c r="D24" s="14"/>
      <c r="E24" s="14"/>
      <c r="F24" s="14"/>
      <c r="G24" s="14"/>
    </row>
    <row r="25" spans="2:13" x14ac:dyDescent="0.25">
      <c r="B25" s="14"/>
      <c r="C25" s="14" t="s">
        <v>186</v>
      </c>
      <c r="D25" s="14" t="s">
        <v>187</v>
      </c>
      <c r="E25" s="14"/>
      <c r="F25" s="14"/>
      <c r="G25" s="14"/>
    </row>
    <row r="26" spans="2:13" x14ac:dyDescent="0.25">
      <c r="B26" s="14"/>
      <c r="C26" s="14"/>
      <c r="D26" s="14"/>
      <c r="E26" s="14"/>
      <c r="F26" s="14"/>
      <c r="G26" s="14"/>
    </row>
    <row r="27" spans="2:13" x14ac:dyDescent="0.25">
      <c r="B27" s="14"/>
      <c r="C27" s="14"/>
      <c r="D27" s="14" t="s">
        <v>188</v>
      </c>
      <c r="E27" s="14"/>
      <c r="F27" s="14"/>
      <c r="G27" s="14"/>
    </row>
    <row r="28" spans="2:13" x14ac:dyDescent="0.25">
      <c r="B28" s="22"/>
    </row>
    <row r="29" spans="2:13" ht="13.8" thickBot="1" x14ac:dyDescent="0.3">
      <c r="B29" t="s">
        <v>189</v>
      </c>
    </row>
    <row r="30" spans="2:13" ht="30.6" thickBot="1" x14ac:dyDescent="0.55000000000000004">
      <c r="B30" s="318" t="s">
        <v>190</v>
      </c>
      <c r="C30" s="245"/>
      <c r="D30" s="245"/>
      <c r="E30" s="245"/>
      <c r="F30" s="245"/>
      <c r="G30" s="245"/>
      <c r="H30" s="245"/>
      <c r="I30" s="245"/>
      <c r="J30" s="246"/>
    </row>
    <row r="31" spans="2:13" ht="24.6" x14ac:dyDescent="0.4">
      <c r="B31" s="319" t="s">
        <v>191</v>
      </c>
      <c r="C31" s="320" t="s">
        <v>192</v>
      </c>
      <c r="D31" s="321">
        <v>50</v>
      </c>
      <c r="E31" s="322" t="s">
        <v>204</v>
      </c>
      <c r="F31" s="322"/>
      <c r="G31" s="322"/>
      <c r="H31" s="322"/>
      <c r="I31" s="322" t="s">
        <v>193</v>
      </c>
      <c r="J31" s="323">
        <f>(D33*2+D34*2)*D35/10000*K32</f>
        <v>21.119999999999997</v>
      </c>
      <c r="K31" s="322" t="s">
        <v>173</v>
      </c>
    </row>
    <row r="32" spans="2:13" ht="25.2" thickBot="1" x14ac:dyDescent="0.45">
      <c r="B32" s="324"/>
      <c r="C32" s="325" t="s">
        <v>194</v>
      </c>
      <c r="D32" s="326">
        <v>50</v>
      </c>
      <c r="E32" s="322"/>
      <c r="F32" s="322"/>
      <c r="G32" s="322"/>
      <c r="H32" s="322"/>
      <c r="I32" s="322"/>
      <c r="J32" s="322"/>
      <c r="K32" s="322">
        <v>11</v>
      </c>
    </row>
    <row r="33" spans="2:11" ht="25.2" thickBot="1" x14ac:dyDescent="0.45">
      <c r="B33" s="319" t="s">
        <v>195</v>
      </c>
      <c r="C33" s="320" t="s">
        <v>196</v>
      </c>
      <c r="D33" s="321">
        <v>240</v>
      </c>
      <c r="E33" s="322"/>
      <c r="F33" s="327" t="s">
        <v>197</v>
      </c>
      <c r="G33" s="328"/>
      <c r="H33" s="328"/>
      <c r="I33" s="329"/>
      <c r="J33" s="330">
        <f>(D33*D34*D35+4/3*G35*G36*D36+G35*D36*D32+G36*D36*D31+D31*D32*D36)/1000000</f>
        <v>2.2334999999999998</v>
      </c>
      <c r="K33" s="322"/>
    </row>
    <row r="34" spans="2:11" ht="25.2" thickBot="1" x14ac:dyDescent="0.45">
      <c r="B34" s="324"/>
      <c r="C34" s="325" t="s">
        <v>198</v>
      </c>
      <c r="D34" s="321">
        <v>240</v>
      </c>
      <c r="E34" s="322"/>
      <c r="F34" s="322"/>
      <c r="G34" s="322"/>
      <c r="H34" s="322"/>
      <c r="I34" s="322"/>
      <c r="J34" s="322"/>
      <c r="K34" s="322"/>
    </row>
    <row r="35" spans="2:11" ht="24.6" x14ac:dyDescent="0.4">
      <c r="B35" s="319" t="s">
        <v>2</v>
      </c>
      <c r="C35" s="320" t="s">
        <v>199</v>
      </c>
      <c r="D35" s="321">
        <v>20</v>
      </c>
      <c r="E35" s="322"/>
      <c r="F35" s="14" t="s">
        <v>200</v>
      </c>
      <c r="G35" s="331">
        <f>(D33-D31)/2</f>
        <v>95</v>
      </c>
      <c r="H35" s="322"/>
      <c r="I35" s="322"/>
      <c r="J35" s="322"/>
      <c r="K35" s="322"/>
    </row>
    <row r="36" spans="2:11" ht="25.2" thickBot="1" x14ac:dyDescent="0.45">
      <c r="B36" s="324"/>
      <c r="C36" s="325" t="s">
        <v>201</v>
      </c>
      <c r="D36" s="326">
        <v>45</v>
      </c>
      <c r="E36" s="322"/>
      <c r="F36" s="14" t="s">
        <v>202</v>
      </c>
      <c r="G36" s="331">
        <f>(D34-D32)/2</f>
        <v>95</v>
      </c>
      <c r="H36" s="322"/>
      <c r="I36" s="322" t="s">
        <v>203</v>
      </c>
      <c r="J36" s="332">
        <f>(K32*J33)</f>
        <v>24.568499999999997</v>
      </c>
      <c r="K36" s="322"/>
    </row>
    <row r="37" spans="2:11" ht="15" x14ac:dyDescent="0.25">
      <c r="B37" s="333"/>
      <c r="C37" s="14"/>
      <c r="D37" s="14"/>
      <c r="E37" s="14"/>
      <c r="F37" s="14"/>
      <c r="G37" s="14"/>
      <c r="H37" s="14"/>
      <c r="I37" s="14"/>
      <c r="J37" s="14"/>
      <c r="K37" s="14"/>
    </row>
    <row r="38" spans="2:11" ht="15" x14ac:dyDescent="0.25">
      <c r="B38" s="333"/>
      <c r="C38" s="14"/>
      <c r="D38" s="14"/>
      <c r="E38" s="14"/>
      <c r="F38" s="14"/>
      <c r="G38" s="14"/>
      <c r="H38" s="14"/>
      <c r="I38" s="14"/>
      <c r="J38" s="14"/>
      <c r="K38" s="14"/>
    </row>
    <row r="39" spans="2:11" ht="15.6" thickBot="1" x14ac:dyDescent="0.3">
      <c r="B39" s="333"/>
      <c r="C39" s="14"/>
      <c r="D39" s="14"/>
      <c r="E39" s="14"/>
      <c r="F39" s="14"/>
      <c r="G39" s="14"/>
      <c r="H39" s="14"/>
      <c r="I39" s="14"/>
      <c r="J39" s="14"/>
      <c r="K39" s="14"/>
    </row>
    <row r="40" spans="2:11" ht="30.6" thickBot="1" x14ac:dyDescent="0.55000000000000004">
      <c r="B40" s="318" t="s">
        <v>190</v>
      </c>
      <c r="C40" s="245"/>
      <c r="D40" s="245"/>
      <c r="E40" s="245"/>
      <c r="F40" s="245"/>
      <c r="G40" s="245"/>
      <c r="H40" s="245"/>
      <c r="I40" s="245"/>
      <c r="J40" s="246"/>
    </row>
    <row r="41" spans="2:11" ht="24.6" x14ac:dyDescent="0.4">
      <c r="B41" s="319" t="s">
        <v>191</v>
      </c>
      <c r="C41" s="320" t="s">
        <v>192</v>
      </c>
      <c r="D41" s="321">
        <v>50</v>
      </c>
      <c r="E41" s="322" t="s">
        <v>205</v>
      </c>
      <c r="F41" s="322"/>
      <c r="G41" s="322"/>
      <c r="H41" s="322"/>
      <c r="I41" s="322" t="s">
        <v>193</v>
      </c>
      <c r="J41" s="323">
        <f>(D43*2+D44*2)*D45/10000*K42</f>
        <v>1.92</v>
      </c>
      <c r="K41" s="322" t="s">
        <v>173</v>
      </c>
    </row>
    <row r="42" spans="2:11" ht="25.2" thickBot="1" x14ac:dyDescent="0.45">
      <c r="B42" s="324"/>
      <c r="C42" s="325" t="s">
        <v>194</v>
      </c>
      <c r="D42" s="326">
        <v>50</v>
      </c>
      <c r="E42" s="322"/>
      <c r="F42" s="322"/>
      <c r="G42" s="322"/>
      <c r="H42" s="322"/>
      <c r="I42" s="322"/>
      <c r="J42" s="322"/>
      <c r="K42" s="322">
        <v>1</v>
      </c>
    </row>
    <row r="43" spans="2:11" ht="25.2" thickBot="1" x14ac:dyDescent="0.45">
      <c r="B43" s="319" t="s">
        <v>195</v>
      </c>
      <c r="C43" s="320" t="s">
        <v>196</v>
      </c>
      <c r="D43" s="321">
        <v>240</v>
      </c>
      <c r="E43" s="322"/>
      <c r="F43" s="327" t="s">
        <v>197</v>
      </c>
      <c r="G43" s="328"/>
      <c r="H43" s="328"/>
      <c r="I43" s="329"/>
      <c r="J43" s="330">
        <f>(D43*D44*D45+4/3*G45*G46*D46+G45*D46*D42+G46*D46*D41+D41*D42*D46)/1000000</f>
        <v>2.2334999999999998</v>
      </c>
      <c r="K43" s="322"/>
    </row>
    <row r="44" spans="2:11" ht="25.2" thickBot="1" x14ac:dyDescent="0.45">
      <c r="B44" s="324"/>
      <c r="C44" s="325" t="s">
        <v>198</v>
      </c>
      <c r="D44" s="321">
        <v>240</v>
      </c>
      <c r="E44" s="322"/>
      <c r="F44" s="322"/>
      <c r="G44" s="322"/>
      <c r="H44" s="322"/>
      <c r="I44" s="322"/>
      <c r="J44" s="322"/>
      <c r="K44" s="322"/>
    </row>
    <row r="45" spans="2:11" ht="24.6" x14ac:dyDescent="0.4">
      <c r="B45" s="319" t="s">
        <v>2</v>
      </c>
      <c r="C45" s="320" t="s">
        <v>199</v>
      </c>
      <c r="D45" s="321">
        <v>20</v>
      </c>
      <c r="E45" s="322"/>
      <c r="F45" s="14" t="s">
        <v>200</v>
      </c>
      <c r="G45" s="331">
        <f>(D43-D41)/2</f>
        <v>95</v>
      </c>
      <c r="H45" s="322"/>
      <c r="I45" s="322"/>
      <c r="J45" s="322"/>
      <c r="K45" s="322"/>
    </row>
    <row r="46" spans="2:11" ht="25.2" thickBot="1" x14ac:dyDescent="0.45">
      <c r="B46" s="324"/>
      <c r="C46" s="325" t="s">
        <v>201</v>
      </c>
      <c r="D46" s="326">
        <v>45</v>
      </c>
      <c r="E46" s="322"/>
      <c r="F46" s="14" t="s">
        <v>202</v>
      </c>
      <c r="G46" s="331">
        <f>(D44-D42)/2</f>
        <v>95</v>
      </c>
      <c r="H46" s="322"/>
      <c r="I46" s="322" t="s">
        <v>203</v>
      </c>
      <c r="J46" s="332">
        <f>(K42*J43)</f>
        <v>2.2334999999999998</v>
      </c>
      <c r="K46" s="322"/>
    </row>
    <row r="47" spans="2:11" ht="13.8" thickBot="1" x14ac:dyDescent="0.3"/>
    <row r="48" spans="2:11" ht="13.8" thickBot="1" x14ac:dyDescent="0.3">
      <c r="B48" s="343" t="s">
        <v>206</v>
      </c>
      <c r="C48" s="344"/>
      <c r="D48" s="344"/>
      <c r="E48" s="344"/>
      <c r="F48" s="345">
        <f>J36+J46</f>
        <v>26.801999999999996</v>
      </c>
    </row>
    <row r="49" spans="2:8" ht="13.8" thickBot="1" x14ac:dyDescent="0.3">
      <c r="B49" s="22"/>
      <c r="C49" s="22"/>
      <c r="D49" s="22"/>
      <c r="E49" s="22"/>
      <c r="F49" s="22"/>
    </row>
    <row r="50" spans="2:8" ht="13.8" thickBot="1" x14ac:dyDescent="0.3">
      <c r="B50" s="343" t="s">
        <v>175</v>
      </c>
      <c r="C50" s="344"/>
      <c r="D50" s="344"/>
      <c r="E50" s="344"/>
      <c r="F50" s="346">
        <f>J31+J41</f>
        <v>23.04</v>
      </c>
    </row>
    <row r="51" spans="2:8" ht="13.8" thickBot="1" x14ac:dyDescent="0.3"/>
    <row r="52" spans="2:8" x14ac:dyDescent="0.25">
      <c r="B52" s="339"/>
      <c r="C52" s="340" t="s">
        <v>169</v>
      </c>
      <c r="D52" s="340"/>
      <c r="E52" s="340"/>
      <c r="F52" s="340"/>
      <c r="G52" s="341"/>
      <c r="H52" s="342"/>
    </row>
    <row r="53" spans="2:8" x14ac:dyDescent="0.25">
      <c r="B53" s="216"/>
      <c r="C53" s="22"/>
      <c r="H53" s="297"/>
    </row>
    <row r="54" spans="2:8" ht="13.8" thickBot="1" x14ac:dyDescent="0.3">
      <c r="B54" s="216"/>
      <c r="H54" s="297"/>
    </row>
    <row r="55" spans="2:8" ht="13.8" thickBot="1" x14ac:dyDescent="0.3">
      <c r="B55" s="298" t="s">
        <v>170</v>
      </c>
      <c r="C55" s="299" t="s">
        <v>171</v>
      </c>
      <c r="D55" s="299" t="s">
        <v>172</v>
      </c>
      <c r="E55" s="299" t="s">
        <v>2</v>
      </c>
      <c r="F55" s="299" t="s">
        <v>173</v>
      </c>
      <c r="G55" s="299" t="s">
        <v>174</v>
      </c>
      <c r="H55" s="299" t="s">
        <v>208</v>
      </c>
    </row>
    <row r="56" spans="2:8" ht="13.8" thickBot="1" x14ac:dyDescent="0.3">
      <c r="B56" s="300" t="s">
        <v>207</v>
      </c>
      <c r="C56" s="301">
        <v>1.1000000000000001</v>
      </c>
      <c r="D56" s="302">
        <v>1.1000000000000001</v>
      </c>
      <c r="E56" s="303">
        <v>0.2</v>
      </c>
      <c r="F56" s="304">
        <v>3</v>
      </c>
      <c r="G56" s="305">
        <f t="shared" ref="G56" si="2">C56*D56*E56*F56</f>
        <v>0.7260000000000002</v>
      </c>
      <c r="H56" s="306">
        <f t="shared" ref="H56" si="3">(C56*2+D56*2)*E56*F56</f>
        <v>2.6400000000000006</v>
      </c>
    </row>
    <row r="57" spans="2:8" ht="13.8" thickBot="1" x14ac:dyDescent="0.3">
      <c r="B57" s="310"/>
      <c r="C57" s="307"/>
      <c r="D57" s="307"/>
      <c r="E57" s="308"/>
      <c r="F57" s="309"/>
      <c r="G57" s="185"/>
      <c r="H57" s="311"/>
    </row>
    <row r="58" spans="2:8" ht="13.8" thickBot="1" x14ac:dyDescent="0.3">
      <c r="B58" s="334" t="s">
        <v>209</v>
      </c>
      <c r="C58" s="335"/>
      <c r="D58" s="335"/>
      <c r="E58" s="335"/>
      <c r="F58" s="335"/>
      <c r="G58" s="336">
        <f>SUM(G56:G57)</f>
        <v>0.7260000000000002</v>
      </c>
      <c r="H58" s="183">
        <f>SUM(H56:H57)</f>
        <v>2.6400000000000006</v>
      </c>
    </row>
    <row r="59" spans="2:8" ht="18" customHeight="1" thickBot="1" x14ac:dyDescent="0.45">
      <c r="B59" s="312"/>
      <c r="C59" s="313"/>
      <c r="D59" s="314"/>
      <c r="E59" s="315"/>
      <c r="F59" s="315"/>
      <c r="G59" s="369" t="s">
        <v>29</v>
      </c>
      <c r="H59" s="370" t="s">
        <v>3</v>
      </c>
    </row>
    <row r="60" spans="2:8" ht="13.8" thickBot="1" x14ac:dyDescent="0.3"/>
    <row r="61" spans="2:8" x14ac:dyDescent="0.25">
      <c r="B61" s="339"/>
      <c r="C61" s="340" t="s">
        <v>210</v>
      </c>
      <c r="D61" s="340"/>
      <c r="E61" s="340"/>
      <c r="F61" s="340"/>
      <c r="G61" s="341"/>
      <c r="H61" s="342"/>
    </row>
    <row r="62" spans="2:8" x14ac:dyDescent="0.25">
      <c r="B62" s="216"/>
      <c r="C62" s="22"/>
      <c r="H62" s="297"/>
    </row>
    <row r="63" spans="2:8" ht="13.8" thickBot="1" x14ac:dyDescent="0.3">
      <c r="B63" s="216"/>
      <c r="H63" s="297"/>
    </row>
    <row r="64" spans="2:8" ht="13.8" thickBot="1" x14ac:dyDescent="0.3">
      <c r="B64" s="298" t="s">
        <v>170</v>
      </c>
      <c r="C64" s="299" t="s">
        <v>171</v>
      </c>
      <c r="D64" s="299" t="s">
        <v>172</v>
      </c>
      <c r="E64" s="299" t="s">
        <v>2</v>
      </c>
      <c r="F64" s="299" t="s">
        <v>173</v>
      </c>
      <c r="G64" s="299" t="s">
        <v>174</v>
      </c>
      <c r="H64" s="299"/>
    </row>
    <row r="65" spans="2:8" ht="13.8" thickBot="1" x14ac:dyDescent="0.3">
      <c r="B65" s="300" t="s">
        <v>212</v>
      </c>
      <c r="C65" s="301">
        <v>2.4500000000000002</v>
      </c>
      <c r="D65" s="302">
        <v>2.4500000000000002</v>
      </c>
      <c r="E65" s="303">
        <v>0.05</v>
      </c>
      <c r="F65" s="304">
        <v>11</v>
      </c>
      <c r="G65" s="305">
        <f t="shared" ref="G65" si="4">C65*D65*E65*F65</f>
        <v>3.3013750000000011</v>
      </c>
      <c r="H65" s="306"/>
    </row>
    <row r="66" spans="2:8" ht="13.8" thickBot="1" x14ac:dyDescent="0.3">
      <c r="B66" s="300" t="s">
        <v>213</v>
      </c>
      <c r="C66" s="338">
        <v>2.4500000000000002</v>
      </c>
      <c r="D66" s="302">
        <v>2.4500000000000002</v>
      </c>
      <c r="E66" s="303">
        <v>0.05</v>
      </c>
      <c r="F66" s="304">
        <v>1</v>
      </c>
      <c r="G66" s="305">
        <f t="shared" ref="G66:G67" si="5">C66*D66*E66*F66</f>
        <v>0.30012500000000009</v>
      </c>
      <c r="H66" s="306"/>
    </row>
    <row r="67" spans="2:8" ht="13.8" thickBot="1" x14ac:dyDescent="0.3">
      <c r="B67" s="337" t="s">
        <v>214</v>
      </c>
      <c r="C67" s="307">
        <v>1.1499999999999999</v>
      </c>
      <c r="D67" s="307">
        <v>1.1499999999999999</v>
      </c>
      <c r="E67" s="308">
        <v>0.05</v>
      </c>
      <c r="F67" s="309">
        <v>3</v>
      </c>
      <c r="G67" s="305">
        <f t="shared" si="5"/>
        <v>0.19837499999999997</v>
      </c>
      <c r="H67" s="306"/>
    </row>
    <row r="68" spans="2:8" ht="13.8" thickBot="1" x14ac:dyDescent="0.3">
      <c r="B68" s="334" t="s">
        <v>209</v>
      </c>
      <c r="C68" s="335"/>
      <c r="D68" s="335"/>
      <c r="E68" s="335"/>
      <c r="F68" s="335"/>
      <c r="G68" s="336">
        <f>SUM(G65:G67)</f>
        <v>3.799875000000001</v>
      </c>
      <c r="H68" s="183"/>
    </row>
    <row r="69" spans="2:8" ht="25.2" thickBot="1" x14ac:dyDescent="0.45">
      <c r="B69" s="312"/>
      <c r="C69" s="313"/>
      <c r="D69" s="314"/>
      <c r="E69" s="315"/>
      <c r="F69" s="315"/>
      <c r="G69" s="316" t="s">
        <v>29</v>
      </c>
      <c r="H69" s="317"/>
    </row>
    <row r="70" spans="2:8" ht="13.8" thickBot="1" x14ac:dyDescent="0.3"/>
    <row r="71" spans="2:8" x14ac:dyDescent="0.25">
      <c r="B71" s="339"/>
      <c r="C71" s="340" t="s">
        <v>229</v>
      </c>
      <c r="D71" s="340"/>
      <c r="E71" s="340"/>
      <c r="F71" s="340"/>
      <c r="G71" s="341"/>
      <c r="H71" s="342"/>
    </row>
    <row r="72" spans="2:8" x14ac:dyDescent="0.25">
      <c r="B72" s="216"/>
      <c r="C72" s="22"/>
      <c r="H72" s="297"/>
    </row>
    <row r="73" spans="2:8" ht="13.8" thickBot="1" x14ac:dyDescent="0.3">
      <c r="B73" s="216"/>
      <c r="H73" s="297"/>
    </row>
    <row r="74" spans="2:8" ht="13.8" thickBot="1" x14ac:dyDescent="0.3">
      <c r="B74" s="298" t="s">
        <v>170</v>
      </c>
      <c r="C74" s="299" t="s">
        <v>171</v>
      </c>
      <c r="D74" s="299" t="s">
        <v>172</v>
      </c>
      <c r="E74" s="299" t="s">
        <v>2</v>
      </c>
      <c r="F74" s="299" t="s">
        <v>173</v>
      </c>
      <c r="G74" s="299" t="s">
        <v>174</v>
      </c>
      <c r="H74" s="299" t="s">
        <v>208</v>
      </c>
    </row>
    <row r="75" spans="2:8" ht="13.8" thickBot="1" x14ac:dyDescent="0.3">
      <c r="B75" s="300" t="s">
        <v>230</v>
      </c>
      <c r="C75" s="301">
        <v>0.5</v>
      </c>
      <c r="D75" s="302">
        <v>0.5</v>
      </c>
      <c r="E75" s="303">
        <v>0.6</v>
      </c>
      <c r="F75" s="304">
        <v>11</v>
      </c>
      <c r="G75" s="305">
        <f t="shared" ref="G75" si="6">C75*D75*E75*F75</f>
        <v>1.65</v>
      </c>
      <c r="H75" s="306">
        <f t="shared" ref="H75" si="7">(C75*2+D75*2)*E75*F75</f>
        <v>13.2</v>
      </c>
    </row>
    <row r="76" spans="2:8" ht="13.8" thickBot="1" x14ac:dyDescent="0.3">
      <c r="B76" s="300" t="s">
        <v>231</v>
      </c>
      <c r="C76" s="338">
        <v>0.5</v>
      </c>
      <c r="D76" s="302">
        <v>0.5</v>
      </c>
      <c r="E76" s="303">
        <v>1.35</v>
      </c>
      <c r="F76" s="304">
        <v>1</v>
      </c>
      <c r="G76" s="305">
        <f t="shared" ref="G76:G77" si="8">C76*D76*E76*F76</f>
        <v>0.33750000000000002</v>
      </c>
      <c r="H76" s="306">
        <f t="shared" ref="H76:H77" si="9">(C76*2+D76*2)*E76*F76</f>
        <v>2.7</v>
      </c>
    </row>
    <row r="77" spans="2:8" ht="13.8" thickBot="1" x14ac:dyDescent="0.3">
      <c r="B77" s="337" t="s">
        <v>232</v>
      </c>
      <c r="C77" s="307">
        <v>0.5</v>
      </c>
      <c r="D77" s="307">
        <v>0.5</v>
      </c>
      <c r="E77" s="308">
        <v>1.05</v>
      </c>
      <c r="F77" s="309">
        <v>3</v>
      </c>
      <c r="G77" s="305">
        <f t="shared" si="8"/>
        <v>0.78750000000000009</v>
      </c>
      <c r="H77" s="306">
        <f t="shared" si="9"/>
        <v>6.3000000000000007</v>
      </c>
    </row>
    <row r="78" spans="2:8" ht="13.8" thickBot="1" x14ac:dyDescent="0.3">
      <c r="B78" s="334" t="s">
        <v>209</v>
      </c>
      <c r="C78" s="335"/>
      <c r="D78" s="335"/>
      <c r="E78" s="335"/>
      <c r="F78" s="335"/>
      <c r="G78" s="336">
        <f>SUM(G75:G77)</f>
        <v>2.7749999999999999</v>
      </c>
      <c r="H78" s="183">
        <f>SUM(H75:H77)</f>
        <v>22.2</v>
      </c>
    </row>
    <row r="79" spans="2:8" ht="25.2" thickBot="1" x14ac:dyDescent="0.45">
      <c r="B79" s="312"/>
      <c r="C79" s="313"/>
      <c r="D79" s="314"/>
      <c r="E79" s="315"/>
      <c r="F79" s="315"/>
      <c r="G79" s="369" t="s">
        <v>29</v>
      </c>
      <c r="H79" s="370" t="s">
        <v>3</v>
      </c>
    </row>
    <row r="82" spans="2:7" x14ac:dyDescent="0.25">
      <c r="C82" s="22" t="s">
        <v>87</v>
      </c>
      <c r="D82" s="22"/>
      <c r="E82" s="22"/>
      <c r="F82" s="22"/>
    </row>
    <row r="83" spans="2:7" x14ac:dyDescent="0.25">
      <c r="C83" s="22"/>
    </row>
    <row r="84" spans="2:7" ht="13.8" thickBot="1" x14ac:dyDescent="0.3"/>
    <row r="85" spans="2:7" ht="13.8" thickBot="1" x14ac:dyDescent="0.3">
      <c r="B85" s="188" t="s">
        <v>93</v>
      </c>
      <c r="C85" s="188" t="s">
        <v>92</v>
      </c>
      <c r="D85" s="188" t="s">
        <v>215</v>
      </c>
      <c r="E85" s="188" t="s">
        <v>89</v>
      </c>
      <c r="F85" s="188" t="s">
        <v>233</v>
      </c>
      <c r="G85" s="188" t="s">
        <v>90</v>
      </c>
    </row>
    <row r="86" spans="2:7" x14ac:dyDescent="0.25">
      <c r="B86" s="179">
        <f>M18</f>
        <v>206.57800000000003</v>
      </c>
      <c r="C86" s="180">
        <f>F48</f>
        <v>26.801999999999996</v>
      </c>
      <c r="D86" s="180">
        <f>G58</f>
        <v>0.7260000000000002</v>
      </c>
      <c r="E86" s="180">
        <f>G68</f>
        <v>3.799875000000001</v>
      </c>
      <c r="F86" s="187">
        <f>G78</f>
        <v>2.7749999999999999</v>
      </c>
      <c r="G86" s="187">
        <f>B86-C86-D86-E86-F86</f>
        <v>172.47512500000002</v>
      </c>
    </row>
    <row r="87" spans="2:7" x14ac:dyDescent="0.25">
      <c r="B87" s="179"/>
      <c r="C87" s="180"/>
      <c r="D87" s="180"/>
      <c r="E87" s="180"/>
      <c r="F87" s="187"/>
      <c r="G87" s="187"/>
    </row>
    <row r="88" spans="2:7" ht="13.8" thickBot="1" x14ac:dyDescent="0.3">
      <c r="B88" s="179"/>
      <c r="C88" s="180"/>
      <c r="D88" s="180"/>
      <c r="E88" s="180"/>
      <c r="F88" s="187"/>
      <c r="G88" s="187"/>
    </row>
    <row r="89" spans="2:7" ht="13.8" thickBot="1" x14ac:dyDescent="0.3">
      <c r="B89" s="181" t="s">
        <v>91</v>
      </c>
      <c r="C89" s="182"/>
      <c r="D89" s="182"/>
      <c r="E89" s="182"/>
      <c r="F89" s="183" t="s">
        <v>29</v>
      </c>
      <c r="G89" s="183" t="s">
        <v>29</v>
      </c>
    </row>
    <row r="92" spans="2:7" x14ac:dyDescent="0.25">
      <c r="B92" s="22" t="s">
        <v>96</v>
      </c>
      <c r="D92" s="22"/>
      <c r="E92" s="22"/>
      <c r="F92" s="22"/>
    </row>
    <row r="93" spans="2:7" x14ac:dyDescent="0.25">
      <c r="C93" s="22"/>
    </row>
    <row r="94" spans="2:7" ht="13.8" thickBot="1" x14ac:dyDescent="0.3"/>
    <row r="95" spans="2:7" ht="13.8" thickBot="1" x14ac:dyDescent="0.3">
      <c r="B95" s="188" t="s">
        <v>94</v>
      </c>
      <c r="C95" s="188" t="s">
        <v>92</v>
      </c>
      <c r="D95" s="188" t="s">
        <v>215</v>
      </c>
      <c r="E95" s="188" t="s">
        <v>89</v>
      </c>
      <c r="F95" s="188" t="s">
        <v>233</v>
      </c>
      <c r="G95" s="188" t="s">
        <v>94</v>
      </c>
    </row>
    <row r="96" spans="2:7" x14ac:dyDescent="0.25">
      <c r="B96" s="179"/>
      <c r="C96" s="180">
        <f>F48</f>
        <v>26.801999999999996</v>
      </c>
      <c r="D96" s="180">
        <f>G58</f>
        <v>0.7260000000000002</v>
      </c>
      <c r="E96" s="180">
        <f>G68</f>
        <v>3.799875000000001</v>
      </c>
      <c r="F96" s="187">
        <f>G78</f>
        <v>2.7749999999999999</v>
      </c>
      <c r="G96" s="187">
        <f>E96+D96+F96+C96</f>
        <v>34.102874999999997</v>
      </c>
    </row>
    <row r="97" spans="2:10" x14ac:dyDescent="0.25">
      <c r="B97" s="179"/>
      <c r="C97" s="180"/>
      <c r="D97" s="180"/>
      <c r="E97" s="180"/>
      <c r="F97" s="187"/>
      <c r="G97" s="187"/>
    </row>
    <row r="98" spans="2:10" ht="13.8" thickBot="1" x14ac:dyDescent="0.3">
      <c r="B98" s="179"/>
      <c r="C98" s="180"/>
      <c r="D98" s="180"/>
      <c r="E98" s="180"/>
      <c r="F98" s="187"/>
      <c r="G98" s="187"/>
    </row>
    <row r="99" spans="2:10" ht="13.8" thickBot="1" x14ac:dyDescent="0.3">
      <c r="B99" s="181" t="s">
        <v>91</v>
      </c>
      <c r="C99" s="182"/>
      <c r="D99" s="182"/>
      <c r="E99" s="182"/>
      <c r="F99" s="183" t="s">
        <v>29</v>
      </c>
      <c r="G99" s="183" t="s">
        <v>29</v>
      </c>
    </row>
    <row r="100" spans="2:10" ht="13.8" thickBot="1" x14ac:dyDescent="0.3"/>
    <row r="101" spans="2:10" x14ac:dyDescent="0.25">
      <c r="B101" s="367"/>
      <c r="C101" s="340"/>
      <c r="D101" s="340" t="s">
        <v>227</v>
      </c>
      <c r="E101" s="340"/>
      <c r="F101" s="368"/>
    </row>
    <row r="102" spans="2:10" ht="13.8" thickBot="1" x14ac:dyDescent="0.3">
      <c r="B102" s="217"/>
      <c r="C102" s="364"/>
      <c r="D102" s="364"/>
      <c r="E102" s="364"/>
      <c r="F102" s="365"/>
    </row>
    <row r="103" spans="2:10" ht="13.8" thickBot="1" x14ac:dyDescent="0.3">
      <c r="B103" s="353" t="s">
        <v>216</v>
      </c>
      <c r="C103" s="354" t="s">
        <v>217</v>
      </c>
      <c r="D103" s="354" t="s">
        <v>218</v>
      </c>
      <c r="E103" s="354" t="s">
        <v>219</v>
      </c>
      <c r="F103" s="360" t="s">
        <v>219</v>
      </c>
      <c r="G103" s="356"/>
      <c r="H103" s="356"/>
      <c r="I103" s="356"/>
      <c r="J103" s="356"/>
    </row>
    <row r="104" spans="2:10" ht="13.8" thickBot="1" x14ac:dyDescent="0.3">
      <c r="B104" s="347" t="s">
        <v>220</v>
      </c>
      <c r="C104" s="348" t="s">
        <v>221</v>
      </c>
      <c r="D104" s="348" t="s">
        <v>223</v>
      </c>
      <c r="E104" s="348" t="s">
        <v>224</v>
      </c>
      <c r="F104" s="348" t="s">
        <v>225</v>
      </c>
      <c r="G104" s="356"/>
      <c r="H104" s="356"/>
      <c r="I104" s="356"/>
      <c r="J104" s="356"/>
    </row>
    <row r="105" spans="2:10" ht="13.8" thickBot="1" x14ac:dyDescent="0.3">
      <c r="B105" s="221" t="s">
        <v>228</v>
      </c>
      <c r="C105" s="304"/>
      <c r="D105" s="349"/>
      <c r="E105" s="350"/>
      <c r="F105" s="349"/>
      <c r="G105" s="357"/>
      <c r="H105" s="357"/>
      <c r="I105" s="357"/>
      <c r="J105" s="358"/>
    </row>
    <row r="106" spans="2:10" ht="13.8" thickBot="1" x14ac:dyDescent="0.3">
      <c r="B106" s="221"/>
      <c r="C106" s="304"/>
      <c r="D106" s="349"/>
      <c r="E106" s="350"/>
      <c r="F106" s="349"/>
      <c r="G106" s="357"/>
      <c r="H106" s="357"/>
      <c r="I106" s="357"/>
      <c r="J106" s="358"/>
    </row>
    <row r="107" spans="2:10" ht="13.8" thickBot="1" x14ac:dyDescent="0.3">
      <c r="B107" s="351"/>
      <c r="C107" s="304">
        <v>45.69</v>
      </c>
      <c r="D107" s="349">
        <v>20.9</v>
      </c>
      <c r="E107" s="350">
        <v>758.17</v>
      </c>
      <c r="F107" s="349">
        <v>260</v>
      </c>
      <c r="G107" s="357"/>
      <c r="H107" s="357"/>
      <c r="I107" s="357"/>
      <c r="J107" s="358"/>
    </row>
    <row r="108" spans="2:10" x14ac:dyDescent="0.25">
      <c r="B108" s="216"/>
      <c r="C108" s="309"/>
      <c r="D108" s="352"/>
      <c r="E108" s="355"/>
      <c r="F108" s="352"/>
      <c r="G108" s="357"/>
      <c r="H108" s="357"/>
      <c r="I108" s="357"/>
      <c r="J108" s="358"/>
    </row>
    <row r="109" spans="2:10" ht="13.8" thickBot="1" x14ac:dyDescent="0.3">
      <c r="B109" s="361" t="s">
        <v>226</v>
      </c>
      <c r="C109" s="362">
        <f>SUM(C107:C108)</f>
        <v>45.69</v>
      </c>
      <c r="D109" s="363">
        <f>SUM(D105:D107)</f>
        <v>20.9</v>
      </c>
      <c r="E109" s="363">
        <f>SUM(E105:E107)</f>
        <v>758.17</v>
      </c>
      <c r="F109" s="363">
        <f>SUM(F105:F107)</f>
        <v>260</v>
      </c>
      <c r="G109" s="359"/>
      <c r="H109" s="359"/>
      <c r="I109" s="359"/>
      <c r="J109" s="359"/>
    </row>
    <row r="113" spans="1:13" x14ac:dyDescent="0.25">
      <c r="B113" t="s">
        <v>177</v>
      </c>
      <c r="D113" s="14" t="s">
        <v>234</v>
      </c>
    </row>
    <row r="114" spans="1:13" x14ac:dyDescent="0.25">
      <c r="A114" s="22" t="s">
        <v>237</v>
      </c>
      <c r="B114" s="22" t="s">
        <v>236</v>
      </c>
      <c r="C114" s="22"/>
      <c r="D114" s="22"/>
    </row>
    <row r="115" spans="1:13" ht="14.4" x14ac:dyDescent="0.25">
      <c r="B115" s="570" t="s">
        <v>1</v>
      </c>
      <c r="C115" s="10" t="s">
        <v>0</v>
      </c>
      <c r="D115" s="9" t="s">
        <v>12</v>
      </c>
      <c r="E115" s="9" t="s">
        <v>4</v>
      </c>
      <c r="F115" s="9" t="s">
        <v>38</v>
      </c>
      <c r="G115" s="9" t="s">
        <v>6</v>
      </c>
      <c r="H115" s="12" t="s">
        <v>5</v>
      </c>
      <c r="I115" s="11" t="s">
        <v>13</v>
      </c>
      <c r="J115" s="11" t="s">
        <v>26</v>
      </c>
      <c r="K115" s="12" t="s">
        <v>14</v>
      </c>
      <c r="L115" s="570" t="s">
        <v>7</v>
      </c>
      <c r="M115" s="572" t="s">
        <v>8</v>
      </c>
    </row>
    <row r="116" spans="1:13" ht="14.4" x14ac:dyDescent="0.3">
      <c r="B116" s="571"/>
      <c r="C116" s="18" t="s">
        <v>9</v>
      </c>
      <c r="D116" s="19" t="s">
        <v>10</v>
      </c>
      <c r="E116" s="19" t="s">
        <v>10</v>
      </c>
      <c r="F116" s="19" t="s">
        <v>10</v>
      </c>
      <c r="G116" s="18" t="s">
        <v>9</v>
      </c>
      <c r="H116" s="20" t="s">
        <v>11</v>
      </c>
      <c r="I116" s="21" t="s">
        <v>11</v>
      </c>
      <c r="J116" s="21" t="s">
        <v>27</v>
      </c>
      <c r="K116" s="20" t="s">
        <v>15</v>
      </c>
      <c r="L116" s="571"/>
      <c r="M116" s="573"/>
    </row>
    <row r="117" spans="1:13" ht="15.6" x14ac:dyDescent="0.25">
      <c r="B117" s="23" t="s">
        <v>211</v>
      </c>
      <c r="C117" s="24"/>
      <c r="D117" s="25"/>
      <c r="E117" s="24"/>
      <c r="F117" s="26"/>
      <c r="G117" s="27"/>
      <c r="H117" s="28"/>
      <c r="I117" s="28"/>
      <c r="J117" s="28"/>
      <c r="K117" s="28"/>
      <c r="L117" s="29"/>
      <c r="M117" s="30"/>
    </row>
    <row r="118" spans="1:13" ht="15" thickBot="1" x14ac:dyDescent="0.35">
      <c r="B118" s="43"/>
      <c r="C118" s="44"/>
      <c r="D118" s="45"/>
      <c r="E118" s="45"/>
      <c r="F118" s="45"/>
      <c r="G118" s="44"/>
      <c r="H118" s="46"/>
      <c r="I118" s="47"/>
      <c r="J118" s="47"/>
      <c r="K118" s="46"/>
      <c r="L118" s="46"/>
      <c r="M118" s="48"/>
    </row>
    <row r="119" spans="1:13" ht="15" thickBot="1" x14ac:dyDescent="0.35">
      <c r="B119" s="99" t="s">
        <v>238</v>
      </c>
      <c r="C119" s="51"/>
      <c r="D119" s="52">
        <v>2.2000000000000002</v>
      </c>
      <c r="E119" s="53">
        <v>2.2000000000000002</v>
      </c>
      <c r="F119" s="52">
        <v>1.25</v>
      </c>
      <c r="G119" s="54">
        <v>2</v>
      </c>
      <c r="H119" s="55"/>
      <c r="I119" s="242"/>
      <c r="J119" s="215">
        <f>G119*F119*E119*D119</f>
        <v>12.100000000000001</v>
      </c>
      <c r="K119" s="153"/>
      <c r="L119" s="155" t="s">
        <v>29</v>
      </c>
      <c r="M119" s="156">
        <f>J119</f>
        <v>12.100000000000001</v>
      </c>
    </row>
    <row r="120" spans="1:13" ht="15" thickBot="1" x14ac:dyDescent="0.35">
      <c r="B120" s="161"/>
      <c r="C120" s="57"/>
      <c r="D120" s="58"/>
      <c r="E120" s="59"/>
      <c r="F120" s="58"/>
      <c r="G120" s="60"/>
      <c r="H120" s="61"/>
      <c r="I120" s="62"/>
      <c r="J120" s="162"/>
      <c r="K120" s="144"/>
      <c r="L120" s="146"/>
      <c r="M120" s="157"/>
    </row>
    <row r="121" spans="1:13" ht="15" thickBot="1" x14ac:dyDescent="0.35">
      <c r="B121" s="224" t="s">
        <v>180</v>
      </c>
      <c r="C121" s="51"/>
      <c r="D121" s="52"/>
      <c r="E121" s="53"/>
      <c r="F121" s="52"/>
      <c r="G121" s="54"/>
      <c r="H121" s="55"/>
      <c r="I121" s="56"/>
      <c r="J121" s="56"/>
      <c r="K121" s="241"/>
      <c r="L121" s="90" t="s">
        <v>29</v>
      </c>
      <c r="M121" s="91">
        <f>SUM(M119:M120)</f>
        <v>12.100000000000001</v>
      </c>
    </row>
    <row r="122" spans="1:13" ht="13.8" thickBot="1" x14ac:dyDescent="0.3"/>
    <row r="123" spans="1:13" x14ac:dyDescent="0.25">
      <c r="B123" s="339"/>
      <c r="C123" s="340" t="s">
        <v>169</v>
      </c>
      <c r="D123" s="340"/>
      <c r="E123" s="340"/>
      <c r="F123" s="340"/>
      <c r="G123" s="341"/>
      <c r="H123" s="342"/>
    </row>
    <row r="124" spans="1:13" x14ac:dyDescent="0.25">
      <c r="B124" s="216"/>
      <c r="C124" s="22"/>
      <c r="H124" s="297"/>
    </row>
    <row r="125" spans="1:13" ht="13.8" thickBot="1" x14ac:dyDescent="0.3">
      <c r="B125" s="216"/>
      <c r="H125" s="297"/>
    </row>
    <row r="126" spans="1:13" ht="13.8" thickBot="1" x14ac:dyDescent="0.3">
      <c r="B126" s="298" t="s">
        <v>170</v>
      </c>
      <c r="C126" s="299" t="s">
        <v>171</v>
      </c>
      <c r="D126" s="299" t="s">
        <v>172</v>
      </c>
      <c r="E126" s="299" t="s">
        <v>2</v>
      </c>
      <c r="F126" s="299" t="s">
        <v>173</v>
      </c>
      <c r="G126" s="299" t="s">
        <v>174</v>
      </c>
      <c r="H126" s="299" t="s">
        <v>208</v>
      </c>
    </row>
    <row r="127" spans="1:13" ht="13.8" thickBot="1" x14ac:dyDescent="0.3">
      <c r="B127" s="300" t="s">
        <v>207</v>
      </c>
      <c r="C127" s="301">
        <v>1.1000000000000001</v>
      </c>
      <c r="D127" s="302">
        <v>1.1000000000000001</v>
      </c>
      <c r="E127" s="303">
        <v>0.2</v>
      </c>
      <c r="F127" s="304">
        <v>2</v>
      </c>
      <c r="G127" s="305">
        <f t="shared" ref="G127" si="10">C127*D127*E127*F127</f>
        <v>0.4840000000000001</v>
      </c>
      <c r="H127" s="306">
        <f t="shared" ref="H127" si="11">(C127*2+D127*2)*E127*F127</f>
        <v>1.7600000000000002</v>
      </c>
    </row>
    <row r="128" spans="1:13" ht="13.8" thickBot="1" x14ac:dyDescent="0.3">
      <c r="B128" s="310"/>
      <c r="C128" s="307"/>
      <c r="D128" s="307"/>
      <c r="E128" s="308"/>
      <c r="F128" s="309"/>
      <c r="G128" s="185"/>
      <c r="H128" s="311"/>
    </row>
    <row r="129" spans="2:8" ht="13.8" thickBot="1" x14ac:dyDescent="0.3">
      <c r="B129" s="334" t="s">
        <v>209</v>
      </c>
      <c r="C129" s="335"/>
      <c r="D129" s="335"/>
      <c r="E129" s="335"/>
      <c r="F129" s="335"/>
      <c r="G129" s="336">
        <f>SUM(G127:G128)</f>
        <v>0.4840000000000001</v>
      </c>
      <c r="H129" s="183">
        <f>SUM(H127:H128)</f>
        <v>1.7600000000000002</v>
      </c>
    </row>
    <row r="130" spans="2:8" ht="25.2" thickBot="1" x14ac:dyDescent="0.45">
      <c r="B130" s="312"/>
      <c r="C130" s="313"/>
      <c r="D130" s="314"/>
      <c r="E130" s="315"/>
      <c r="F130" s="315"/>
      <c r="G130" s="369" t="s">
        <v>29</v>
      </c>
      <c r="H130" s="370" t="s">
        <v>3</v>
      </c>
    </row>
    <row r="131" spans="2:8" ht="13.8" thickBot="1" x14ac:dyDescent="0.3"/>
    <row r="132" spans="2:8" x14ac:dyDescent="0.25">
      <c r="B132" s="339"/>
      <c r="C132" s="340" t="s">
        <v>210</v>
      </c>
      <c r="D132" s="340"/>
      <c r="E132" s="340"/>
      <c r="F132" s="340"/>
      <c r="G132" s="341"/>
      <c r="H132" s="342"/>
    </row>
    <row r="133" spans="2:8" x14ac:dyDescent="0.25">
      <c r="B133" s="216"/>
      <c r="C133" s="22"/>
      <c r="H133" s="297"/>
    </row>
    <row r="134" spans="2:8" ht="13.8" thickBot="1" x14ac:dyDescent="0.3">
      <c r="B134" s="216"/>
      <c r="H134" s="297"/>
    </row>
    <row r="135" spans="2:8" ht="13.8" thickBot="1" x14ac:dyDescent="0.3">
      <c r="B135" s="371" t="s">
        <v>170</v>
      </c>
      <c r="C135" s="372" t="s">
        <v>171</v>
      </c>
      <c r="D135" s="372" t="s">
        <v>172</v>
      </c>
      <c r="E135" s="372" t="s">
        <v>2</v>
      </c>
      <c r="F135" s="372" t="s">
        <v>173</v>
      </c>
      <c r="G135" s="299" t="s">
        <v>174</v>
      </c>
      <c r="H135" s="299"/>
    </row>
    <row r="136" spans="2:8" ht="13.8" thickBot="1" x14ac:dyDescent="0.3">
      <c r="B136" s="337" t="s">
        <v>214</v>
      </c>
      <c r="C136" s="307">
        <v>1.1499999999999999</v>
      </c>
      <c r="D136" s="307">
        <v>1.1499999999999999</v>
      </c>
      <c r="E136" s="308">
        <v>0.05</v>
      </c>
      <c r="F136" s="309">
        <v>2</v>
      </c>
      <c r="G136" s="305">
        <f t="shared" ref="G136" si="12">C136*D136*E136*F136</f>
        <v>0.13224999999999998</v>
      </c>
      <c r="H136" s="306"/>
    </row>
    <row r="137" spans="2:8" ht="13.8" thickBot="1" x14ac:dyDescent="0.3">
      <c r="B137" s="334" t="s">
        <v>209</v>
      </c>
      <c r="C137" s="335"/>
      <c r="D137" s="335"/>
      <c r="E137" s="335"/>
      <c r="F137" s="335"/>
      <c r="G137" s="336">
        <f>SUM(G136:G136)</f>
        <v>0.13224999999999998</v>
      </c>
      <c r="H137" s="183"/>
    </row>
    <row r="138" spans="2:8" ht="25.2" thickBot="1" x14ac:dyDescent="0.45">
      <c r="B138" s="312"/>
      <c r="C138" s="313"/>
      <c r="D138" s="314"/>
      <c r="E138" s="315"/>
      <c r="F138" s="315"/>
      <c r="G138" s="316" t="s">
        <v>29</v>
      </c>
      <c r="H138" s="317"/>
    </row>
    <row r="139" spans="2:8" ht="13.8" thickBot="1" x14ac:dyDescent="0.3"/>
    <row r="140" spans="2:8" x14ac:dyDescent="0.25">
      <c r="B140" s="339"/>
      <c r="C140" s="340" t="s">
        <v>229</v>
      </c>
      <c r="D140" s="340"/>
      <c r="E140" s="340"/>
      <c r="F140" s="340"/>
      <c r="G140" s="341"/>
      <c r="H140" s="342"/>
    </row>
    <row r="141" spans="2:8" x14ac:dyDescent="0.25">
      <c r="B141" s="216"/>
      <c r="C141" s="22"/>
      <c r="H141" s="297"/>
    </row>
    <row r="142" spans="2:8" ht="13.8" thickBot="1" x14ac:dyDescent="0.3">
      <c r="B142" s="216"/>
      <c r="H142" s="297"/>
    </row>
    <row r="143" spans="2:8" ht="13.8" thickBot="1" x14ac:dyDescent="0.3">
      <c r="B143" s="371" t="s">
        <v>170</v>
      </c>
      <c r="C143" s="372" t="s">
        <v>171</v>
      </c>
      <c r="D143" s="372" t="s">
        <v>172</v>
      </c>
      <c r="E143" s="372" t="s">
        <v>2</v>
      </c>
      <c r="F143" s="372" t="s">
        <v>173</v>
      </c>
      <c r="G143" s="299" t="s">
        <v>174</v>
      </c>
      <c r="H143" s="299" t="s">
        <v>208</v>
      </c>
    </row>
    <row r="144" spans="2:8" ht="13.8" thickBot="1" x14ac:dyDescent="0.3">
      <c r="B144" s="337" t="s">
        <v>232</v>
      </c>
      <c r="C144" s="307">
        <v>0.5</v>
      </c>
      <c r="D144" s="307">
        <v>0.5</v>
      </c>
      <c r="E144" s="308">
        <v>1.05</v>
      </c>
      <c r="F144" s="309">
        <v>2</v>
      </c>
      <c r="G144" s="305">
        <f t="shared" ref="G144" si="13">C144*D144*E144*F144</f>
        <v>0.52500000000000002</v>
      </c>
      <c r="H144" s="306">
        <f t="shared" ref="H144" si="14">(C144*2+D144*2)*E144*F144</f>
        <v>4.2</v>
      </c>
    </row>
    <row r="145" spans="2:8" ht="13.8" thickBot="1" x14ac:dyDescent="0.3">
      <c r="B145" s="334" t="s">
        <v>209</v>
      </c>
      <c r="C145" s="335"/>
      <c r="D145" s="335"/>
      <c r="E145" s="335"/>
      <c r="F145" s="335"/>
      <c r="G145" s="336">
        <f>SUM(G144:G144)</f>
        <v>0.52500000000000002</v>
      </c>
      <c r="H145" s="183">
        <f>SUM(H144:H144)</f>
        <v>4.2</v>
      </c>
    </row>
    <row r="146" spans="2:8" ht="25.2" thickBot="1" x14ac:dyDescent="0.45">
      <c r="B146" s="312"/>
      <c r="C146" s="313"/>
      <c r="D146" s="314"/>
      <c r="E146" s="315"/>
      <c r="F146" s="315"/>
      <c r="G146" s="369" t="s">
        <v>29</v>
      </c>
      <c r="H146" s="370" t="s">
        <v>3</v>
      </c>
    </row>
    <row r="149" spans="2:8" x14ac:dyDescent="0.25">
      <c r="C149" s="22" t="s">
        <v>87</v>
      </c>
      <c r="D149" s="22"/>
      <c r="E149" s="22"/>
      <c r="F149" s="22"/>
    </row>
    <row r="150" spans="2:8" x14ac:dyDescent="0.25">
      <c r="C150" s="22"/>
    </row>
    <row r="151" spans="2:8" ht="13.8" thickBot="1" x14ac:dyDescent="0.3"/>
    <row r="152" spans="2:8" ht="13.8" thickBot="1" x14ac:dyDescent="0.3">
      <c r="B152" s="188" t="s">
        <v>93</v>
      </c>
      <c r="C152" s="188" t="s">
        <v>92</v>
      </c>
      <c r="D152" s="188" t="s">
        <v>215</v>
      </c>
      <c r="E152" s="188" t="s">
        <v>89</v>
      </c>
      <c r="F152" s="188" t="s">
        <v>233</v>
      </c>
      <c r="G152" s="188" t="s">
        <v>90</v>
      </c>
    </row>
    <row r="153" spans="2:8" x14ac:dyDescent="0.25">
      <c r="B153" s="179">
        <f>M121</f>
        <v>12.100000000000001</v>
      </c>
      <c r="C153" s="180"/>
      <c r="D153" s="180">
        <f>G129</f>
        <v>0.4840000000000001</v>
      </c>
      <c r="E153" s="180">
        <f>G137</f>
        <v>0.13224999999999998</v>
      </c>
      <c r="F153" s="187">
        <f>G145</f>
        <v>0.52500000000000002</v>
      </c>
      <c r="G153" s="187">
        <f>B153-C153-D153-E153-F153</f>
        <v>10.95875</v>
      </c>
    </row>
    <row r="154" spans="2:8" x14ac:dyDescent="0.25">
      <c r="B154" s="179"/>
      <c r="C154" s="180"/>
      <c r="D154" s="180"/>
      <c r="E154" s="180"/>
      <c r="F154" s="187"/>
      <c r="G154" s="187"/>
    </row>
    <row r="155" spans="2:8" ht="13.8" thickBot="1" x14ac:dyDescent="0.3">
      <c r="B155" s="179"/>
      <c r="C155" s="180"/>
      <c r="D155" s="180"/>
      <c r="E155" s="180"/>
      <c r="F155" s="187"/>
      <c r="G155" s="187"/>
    </row>
    <row r="156" spans="2:8" ht="13.8" thickBot="1" x14ac:dyDescent="0.3">
      <c r="B156" s="181" t="s">
        <v>91</v>
      </c>
      <c r="C156" s="182"/>
      <c r="D156" s="182"/>
      <c r="E156" s="182"/>
      <c r="F156" s="183" t="s">
        <v>29</v>
      </c>
      <c r="G156" s="183" t="s">
        <v>29</v>
      </c>
    </row>
    <row r="159" spans="2:8" x14ac:dyDescent="0.25">
      <c r="B159" s="22" t="s">
        <v>96</v>
      </c>
      <c r="D159" s="22"/>
      <c r="E159" s="22"/>
      <c r="F159" s="22"/>
    </row>
    <row r="160" spans="2:8" x14ac:dyDescent="0.25">
      <c r="C160" s="22"/>
    </row>
    <row r="161" spans="2:8" ht="13.8" thickBot="1" x14ac:dyDescent="0.3"/>
    <row r="162" spans="2:8" ht="13.8" thickBot="1" x14ac:dyDescent="0.3">
      <c r="B162" s="188" t="s">
        <v>94</v>
      </c>
      <c r="C162" s="188" t="s">
        <v>92</v>
      </c>
      <c r="D162" s="188" t="s">
        <v>215</v>
      </c>
      <c r="E162" s="188" t="s">
        <v>89</v>
      </c>
      <c r="F162" s="188" t="s">
        <v>233</v>
      </c>
      <c r="G162" s="188" t="s">
        <v>94</v>
      </c>
    </row>
    <row r="163" spans="2:8" x14ac:dyDescent="0.25">
      <c r="B163" s="179"/>
      <c r="C163" s="180"/>
      <c r="D163" s="180">
        <f>G129</f>
        <v>0.4840000000000001</v>
      </c>
      <c r="E163" s="180">
        <f>G137</f>
        <v>0.13224999999999998</v>
      </c>
      <c r="F163" s="187">
        <f>G145</f>
        <v>0.52500000000000002</v>
      </c>
      <c r="G163" s="187">
        <f>E163+D163+F163+C163</f>
        <v>1.1412500000000001</v>
      </c>
    </row>
    <row r="164" spans="2:8" x14ac:dyDescent="0.25">
      <c r="B164" s="179"/>
      <c r="C164" s="180"/>
      <c r="D164" s="180"/>
      <c r="E164" s="180"/>
      <c r="F164" s="187"/>
      <c r="G164" s="187"/>
    </row>
    <row r="165" spans="2:8" ht="13.8" thickBot="1" x14ac:dyDescent="0.3">
      <c r="B165" s="179"/>
      <c r="C165" s="180"/>
      <c r="D165" s="180"/>
      <c r="E165" s="180"/>
      <c r="F165" s="187"/>
      <c r="G165" s="187"/>
    </row>
    <row r="166" spans="2:8" ht="13.8" thickBot="1" x14ac:dyDescent="0.3">
      <c r="B166" s="181" t="s">
        <v>91</v>
      </c>
      <c r="C166" s="182"/>
      <c r="D166" s="182"/>
      <c r="E166" s="182"/>
      <c r="F166" s="183" t="s">
        <v>29</v>
      </c>
      <c r="G166" s="183" t="s">
        <v>29</v>
      </c>
    </row>
    <row r="167" spans="2:8" ht="13.8" thickBot="1" x14ac:dyDescent="0.3"/>
    <row r="168" spans="2:8" x14ac:dyDescent="0.25">
      <c r="B168" s="367"/>
      <c r="C168" s="340"/>
      <c r="D168" s="340" t="s">
        <v>227</v>
      </c>
      <c r="E168" s="340"/>
      <c r="F168" s="368"/>
    </row>
    <row r="169" spans="2:8" ht="13.8" thickBot="1" x14ac:dyDescent="0.3">
      <c r="B169" s="217"/>
      <c r="C169" s="364"/>
      <c r="D169" s="364"/>
      <c r="E169" s="364"/>
      <c r="F169" s="365"/>
    </row>
    <row r="170" spans="2:8" ht="13.8" thickBot="1" x14ac:dyDescent="0.3">
      <c r="B170" s="353" t="s">
        <v>216</v>
      </c>
      <c r="C170" s="354" t="s">
        <v>217</v>
      </c>
      <c r="D170" s="354" t="s">
        <v>218</v>
      </c>
      <c r="E170" s="354" t="s">
        <v>219</v>
      </c>
      <c r="F170" s="360" t="s">
        <v>219</v>
      </c>
      <c r="G170" s="356"/>
      <c r="H170" s="356"/>
    </row>
    <row r="171" spans="2:8" ht="13.8" thickBot="1" x14ac:dyDescent="0.3">
      <c r="B171" s="347" t="s">
        <v>220</v>
      </c>
      <c r="C171" s="348" t="s">
        <v>221</v>
      </c>
      <c r="D171" s="348" t="s">
        <v>223</v>
      </c>
      <c r="E171" s="348" t="s">
        <v>224</v>
      </c>
      <c r="F171" s="348" t="s">
        <v>225</v>
      </c>
      <c r="G171" s="356"/>
      <c r="H171" s="356"/>
    </row>
    <row r="172" spans="2:8" ht="13.8" thickBot="1" x14ac:dyDescent="0.3">
      <c r="B172" s="221" t="s">
        <v>238</v>
      </c>
      <c r="C172" s="304"/>
      <c r="D172" s="349"/>
      <c r="E172" s="350"/>
      <c r="F172" s="349"/>
      <c r="G172" s="357"/>
      <c r="H172" s="357"/>
    </row>
    <row r="173" spans="2:8" ht="13.8" thickBot="1" x14ac:dyDescent="0.3">
      <c r="B173" s="221"/>
      <c r="C173" s="304"/>
      <c r="D173" s="349"/>
      <c r="E173" s="350"/>
      <c r="F173" s="349"/>
      <c r="G173" s="357"/>
      <c r="H173" s="357"/>
    </row>
    <row r="174" spans="2:8" ht="13.8" thickBot="1" x14ac:dyDescent="0.3">
      <c r="B174" s="351"/>
      <c r="C174" s="304">
        <v>13.04</v>
      </c>
      <c r="D174" s="349">
        <v>14</v>
      </c>
      <c r="E174" s="350"/>
      <c r="F174" s="349">
        <v>33.51</v>
      </c>
      <c r="G174" s="357"/>
      <c r="H174" s="357"/>
    </row>
    <row r="175" spans="2:8" x14ac:dyDescent="0.25">
      <c r="B175" s="216"/>
      <c r="C175" s="309"/>
      <c r="D175" s="352"/>
      <c r="E175" s="355"/>
      <c r="F175" s="352"/>
      <c r="G175" s="357"/>
      <c r="H175" s="357"/>
    </row>
    <row r="176" spans="2:8" ht="13.8" thickBot="1" x14ac:dyDescent="0.3">
      <c r="B176" s="361" t="s">
        <v>226</v>
      </c>
      <c r="C176" s="362">
        <f>SUM(C174:C175)</f>
        <v>13.04</v>
      </c>
      <c r="D176" s="363">
        <f>SUM(D172:D174)</f>
        <v>14</v>
      </c>
      <c r="E176" s="363"/>
      <c r="F176" s="363">
        <f>SUM(F172:F174)</f>
        <v>33.51</v>
      </c>
      <c r="G176" s="359"/>
      <c r="H176" s="359"/>
    </row>
    <row r="179" spans="1:8" x14ac:dyDescent="0.25">
      <c r="A179" s="22" t="s">
        <v>245</v>
      </c>
      <c r="B179" s="22" t="s">
        <v>246</v>
      </c>
    </row>
    <row r="180" spans="1:8" x14ac:dyDescent="0.25">
      <c r="B180" s="14" t="s">
        <v>247</v>
      </c>
    </row>
    <row r="181" spans="1:8" ht="13.8" thickBot="1" x14ac:dyDescent="0.3"/>
    <row r="182" spans="1:8" x14ac:dyDescent="0.25">
      <c r="B182" s="394"/>
      <c r="C182" s="395" t="s">
        <v>260</v>
      </c>
      <c r="D182" s="396"/>
      <c r="E182" s="396"/>
      <c r="F182" s="397"/>
      <c r="G182" s="397"/>
      <c r="H182" s="398"/>
    </row>
    <row r="183" spans="1:8" ht="13.8" thickBot="1" x14ac:dyDescent="0.3">
      <c r="B183" s="381"/>
      <c r="C183" s="382"/>
      <c r="D183" s="382"/>
      <c r="E183" s="382"/>
      <c r="F183" s="383"/>
      <c r="G183" s="383"/>
      <c r="H183" s="384"/>
    </row>
    <row r="184" spans="1:8" ht="13.8" thickBot="1" x14ac:dyDescent="0.3">
      <c r="B184" s="371" t="s">
        <v>248</v>
      </c>
      <c r="C184" s="385" t="s">
        <v>171</v>
      </c>
      <c r="D184" s="385" t="s">
        <v>172</v>
      </c>
      <c r="E184" s="386"/>
      <c r="F184" s="387" t="s">
        <v>173</v>
      </c>
      <c r="G184" s="387" t="s">
        <v>249</v>
      </c>
      <c r="H184" s="388" t="s">
        <v>208</v>
      </c>
    </row>
    <row r="185" spans="1:8" ht="13.8" thickBot="1" x14ac:dyDescent="0.3">
      <c r="B185" s="380" t="s">
        <v>250</v>
      </c>
      <c r="C185" s="389">
        <v>5.67</v>
      </c>
      <c r="D185" s="389">
        <v>1.56</v>
      </c>
      <c r="E185" s="389"/>
      <c r="F185" s="390">
        <v>1</v>
      </c>
      <c r="G185" s="390">
        <f>C185*D185*F185</f>
        <v>8.8452000000000002</v>
      </c>
      <c r="H185" s="391">
        <f t="shared" ref="H185:H187" si="15">C185*D185*F185</f>
        <v>8.8452000000000002</v>
      </c>
    </row>
    <row r="186" spans="1:8" ht="13.8" thickBot="1" x14ac:dyDescent="0.3">
      <c r="B186" s="381" t="s">
        <v>250</v>
      </c>
      <c r="C186" s="389">
        <v>9.6999999999999993</v>
      </c>
      <c r="D186" s="389">
        <v>3.24</v>
      </c>
      <c r="E186" s="389"/>
      <c r="F186" s="390">
        <v>1</v>
      </c>
      <c r="G186" s="390">
        <f t="shared" ref="G186:G187" si="16">C186*D186*F186</f>
        <v>31.428000000000001</v>
      </c>
      <c r="H186" s="391">
        <f t="shared" si="15"/>
        <v>31.428000000000001</v>
      </c>
    </row>
    <row r="187" spans="1:8" x14ac:dyDescent="0.25">
      <c r="B187" s="381" t="s">
        <v>250</v>
      </c>
      <c r="C187" s="389">
        <v>5.0119999999999996</v>
      </c>
      <c r="D187" s="389">
        <v>3.24</v>
      </c>
      <c r="E187" s="389"/>
      <c r="F187" s="390">
        <v>1</v>
      </c>
      <c r="G187" s="390">
        <f t="shared" si="16"/>
        <v>16.238879999999998</v>
      </c>
      <c r="H187" s="391">
        <f t="shared" si="15"/>
        <v>16.238879999999998</v>
      </c>
    </row>
    <row r="188" spans="1:8" ht="13.8" thickBot="1" x14ac:dyDescent="0.3">
      <c r="B188" s="381"/>
      <c r="C188" s="382"/>
      <c r="D188" s="382"/>
      <c r="E188" s="382"/>
      <c r="F188" s="383"/>
      <c r="G188" s="383"/>
      <c r="H188" s="384"/>
    </row>
    <row r="189" spans="1:8" x14ac:dyDescent="0.25">
      <c r="B189" s="366"/>
      <c r="C189" s="296" t="s">
        <v>122</v>
      </c>
      <c r="D189" s="296"/>
      <c r="E189" s="296"/>
      <c r="F189" s="296"/>
      <c r="G189" s="392">
        <f>SUM(G185:G188)</f>
        <v>56.512079999999997</v>
      </c>
      <c r="H189" s="393">
        <f>SUM(H185:H188)</f>
        <v>56.512079999999997</v>
      </c>
    </row>
    <row r="190" spans="1:8" ht="13.8" thickBot="1" x14ac:dyDescent="0.3">
      <c r="B190" s="217"/>
      <c r="C190" s="364"/>
      <c r="D190" s="364"/>
      <c r="E190" s="364"/>
      <c r="F190" s="364"/>
      <c r="G190" s="369" t="s">
        <v>3</v>
      </c>
      <c r="H190" s="370" t="s">
        <v>3</v>
      </c>
    </row>
    <row r="191" spans="1:8" ht="13.8" thickBot="1" x14ac:dyDescent="0.3"/>
    <row r="192" spans="1:8" x14ac:dyDescent="0.25">
      <c r="B192" s="394"/>
      <c r="C192" s="395" t="s">
        <v>251</v>
      </c>
      <c r="D192" s="396"/>
      <c r="E192" s="396"/>
      <c r="F192" s="397"/>
      <c r="G192" s="397"/>
      <c r="H192" s="398"/>
    </row>
    <row r="193" spans="2:8" ht="13.8" thickBot="1" x14ac:dyDescent="0.3">
      <c r="B193" s="381"/>
      <c r="C193" s="382"/>
      <c r="D193" s="382"/>
      <c r="E193" s="382"/>
      <c r="F193" s="383"/>
      <c r="G193" s="383"/>
      <c r="H193" s="384"/>
    </row>
    <row r="194" spans="2:8" ht="13.8" thickBot="1" x14ac:dyDescent="0.3">
      <c r="B194" s="371" t="s">
        <v>248</v>
      </c>
      <c r="C194" s="385" t="s">
        <v>254</v>
      </c>
      <c r="D194" s="385" t="s">
        <v>255</v>
      </c>
      <c r="E194" s="385" t="s">
        <v>253</v>
      </c>
      <c r="F194" s="387" t="s">
        <v>173</v>
      </c>
      <c r="G194" s="387" t="s">
        <v>26</v>
      </c>
      <c r="H194" s="388" t="s">
        <v>208</v>
      </c>
    </row>
    <row r="195" spans="2:8" ht="13.8" thickBot="1" x14ac:dyDescent="0.3">
      <c r="B195" s="380" t="s">
        <v>252</v>
      </c>
      <c r="C195" s="389">
        <v>9.51</v>
      </c>
      <c r="D195" s="389">
        <v>3.36</v>
      </c>
      <c r="E195" s="389">
        <v>0.185</v>
      </c>
      <c r="F195" s="390">
        <v>1</v>
      </c>
      <c r="G195" s="390">
        <f>F195*E195*D195*C195</f>
        <v>5.9114159999999991</v>
      </c>
      <c r="H195" s="391">
        <f>C195*D195*F195+(C195*2*0.2)+(D195*2*0.2)</f>
        <v>37.101599999999998</v>
      </c>
    </row>
    <row r="196" spans="2:8" ht="13.8" thickBot="1" x14ac:dyDescent="0.3">
      <c r="B196" s="381"/>
      <c r="C196" s="389"/>
      <c r="D196" s="389"/>
      <c r="E196" s="389"/>
      <c r="F196" s="390"/>
      <c r="G196" s="390"/>
      <c r="H196" s="391"/>
    </row>
    <row r="197" spans="2:8" x14ac:dyDescent="0.25">
      <c r="B197" s="381"/>
      <c r="C197" s="389"/>
      <c r="D197" s="389"/>
      <c r="E197" s="389"/>
      <c r="F197" s="390"/>
      <c r="G197" s="390"/>
      <c r="H197" s="391"/>
    </row>
    <row r="198" spans="2:8" ht="13.8" thickBot="1" x14ac:dyDescent="0.3">
      <c r="B198" s="381"/>
      <c r="C198" s="382"/>
      <c r="D198" s="382"/>
      <c r="E198" s="382"/>
      <c r="F198" s="383"/>
      <c r="G198" s="383"/>
      <c r="H198" s="384"/>
    </row>
    <row r="199" spans="2:8" x14ac:dyDescent="0.25">
      <c r="B199" s="366"/>
      <c r="C199" s="296" t="s">
        <v>122</v>
      </c>
      <c r="D199" s="296"/>
      <c r="E199" s="296"/>
      <c r="F199" s="296"/>
      <c r="G199" s="392">
        <f>SUM(G195:G198)</f>
        <v>5.9114159999999991</v>
      </c>
      <c r="H199" s="393">
        <f>SUM(H195:H198)</f>
        <v>37.101599999999998</v>
      </c>
    </row>
    <row r="200" spans="2:8" ht="13.8" thickBot="1" x14ac:dyDescent="0.3">
      <c r="B200" s="217"/>
      <c r="C200" s="364"/>
      <c r="D200" s="364"/>
      <c r="E200" s="364"/>
      <c r="F200" s="364"/>
      <c r="G200" s="369" t="s">
        <v>29</v>
      </c>
      <c r="H200" s="370" t="s">
        <v>3</v>
      </c>
    </row>
    <row r="201" spans="2:8" ht="13.8" thickBot="1" x14ac:dyDescent="0.3"/>
    <row r="202" spans="2:8" x14ac:dyDescent="0.25">
      <c r="B202" s="367"/>
      <c r="C202" s="340"/>
      <c r="D202" s="340" t="s">
        <v>227</v>
      </c>
      <c r="E202" s="340"/>
      <c r="F202" s="368"/>
      <c r="G202" s="368"/>
      <c r="H202" s="368"/>
    </row>
    <row r="203" spans="2:8" ht="13.8" thickBot="1" x14ac:dyDescent="0.3">
      <c r="B203" s="217"/>
      <c r="C203" s="364"/>
      <c r="D203" s="364"/>
      <c r="E203" s="364"/>
      <c r="F203" s="365"/>
      <c r="G203" s="365"/>
      <c r="H203" s="365"/>
    </row>
    <row r="204" spans="2:8" ht="13.8" thickBot="1" x14ac:dyDescent="0.3">
      <c r="B204" s="353" t="s">
        <v>256</v>
      </c>
      <c r="C204" s="354" t="s">
        <v>217</v>
      </c>
      <c r="D204" s="354" t="s">
        <v>218</v>
      </c>
      <c r="E204" s="354" t="s">
        <v>219</v>
      </c>
      <c r="F204" s="360" t="s">
        <v>219</v>
      </c>
      <c r="G204" s="360" t="s">
        <v>219</v>
      </c>
      <c r="H204" s="360" t="s">
        <v>261</v>
      </c>
    </row>
    <row r="205" spans="2:8" ht="13.8" thickBot="1" x14ac:dyDescent="0.3">
      <c r="B205" s="347" t="s">
        <v>220</v>
      </c>
      <c r="C205" s="348" t="s">
        <v>221</v>
      </c>
      <c r="D205" s="348" t="s">
        <v>222</v>
      </c>
      <c r="E205" s="348" t="s">
        <v>223</v>
      </c>
      <c r="F205" s="348" t="s">
        <v>224</v>
      </c>
      <c r="G205" s="348" t="s">
        <v>225</v>
      </c>
      <c r="H205" s="348"/>
    </row>
    <row r="206" spans="2:8" ht="13.8" thickBot="1" x14ac:dyDescent="0.3">
      <c r="B206" s="221" t="s">
        <v>252</v>
      </c>
      <c r="C206" s="349">
        <v>32</v>
      </c>
      <c r="D206" s="349">
        <v>32</v>
      </c>
      <c r="E206" s="350">
        <v>30</v>
      </c>
      <c r="F206" s="349">
        <v>159</v>
      </c>
      <c r="G206" s="349">
        <v>58</v>
      </c>
      <c r="H206" s="349">
        <v>103</v>
      </c>
    </row>
    <row r="207" spans="2:8" ht="13.8" thickBot="1" x14ac:dyDescent="0.3">
      <c r="B207" s="221"/>
      <c r="C207" s="304"/>
      <c r="D207" s="349"/>
      <c r="E207" s="350"/>
      <c r="F207" s="349"/>
      <c r="G207" s="349"/>
      <c r="H207" s="349"/>
    </row>
    <row r="208" spans="2:8" ht="13.8" thickBot="1" x14ac:dyDescent="0.3">
      <c r="B208" s="351"/>
      <c r="C208" s="304"/>
      <c r="D208" s="349"/>
      <c r="E208" s="350"/>
      <c r="F208" s="349"/>
      <c r="G208" s="349"/>
      <c r="H208" s="349"/>
    </row>
    <row r="209" spans="2:8" x14ac:dyDescent="0.25">
      <c r="B209" s="216"/>
      <c r="C209" s="309"/>
      <c r="D209" s="352"/>
      <c r="E209" s="355"/>
      <c r="F209" s="352"/>
      <c r="G209" s="352"/>
      <c r="H209" s="352"/>
    </row>
    <row r="210" spans="2:8" ht="13.8" thickBot="1" x14ac:dyDescent="0.3">
      <c r="B210" s="361" t="s">
        <v>257</v>
      </c>
      <c r="C210" s="363">
        <f>SUM(C206:C209)</f>
        <v>32</v>
      </c>
      <c r="D210" s="363">
        <f>SUM(D206:D208)</f>
        <v>32</v>
      </c>
      <c r="E210" s="363">
        <f>SUM(E206)</f>
        <v>30</v>
      </c>
      <c r="F210" s="363">
        <f>SUM(F206:F208)</f>
        <v>159</v>
      </c>
      <c r="G210" s="363">
        <f>SUM(G206:G208)</f>
        <v>58</v>
      </c>
      <c r="H210" s="363">
        <f>SUM(H206:H208)</f>
        <v>103</v>
      </c>
    </row>
    <row r="211" spans="2:8" x14ac:dyDescent="0.25">
      <c r="C211" s="399" t="s">
        <v>108</v>
      </c>
      <c r="D211" s="399" t="s">
        <v>108</v>
      </c>
      <c r="E211" s="399" t="s">
        <v>108</v>
      </c>
      <c r="F211" s="399" t="s">
        <v>108</v>
      </c>
      <c r="G211" s="399" t="s">
        <v>108</v>
      </c>
      <c r="H211" s="399" t="s">
        <v>108</v>
      </c>
    </row>
    <row r="212" spans="2:8" ht="13.8" thickBot="1" x14ac:dyDescent="0.3"/>
    <row r="213" spans="2:8" x14ac:dyDescent="0.25">
      <c r="B213" s="394"/>
      <c r="C213" s="395" t="s">
        <v>259</v>
      </c>
      <c r="D213" s="396"/>
      <c r="E213" s="396"/>
      <c r="F213" s="397"/>
      <c r="G213" s="397"/>
      <c r="H213" s="398"/>
    </row>
    <row r="214" spans="2:8" ht="13.8" thickBot="1" x14ac:dyDescent="0.3">
      <c r="B214" s="381"/>
      <c r="C214" s="382"/>
      <c r="D214" s="382"/>
      <c r="E214" s="382"/>
      <c r="F214" s="383"/>
      <c r="G214" s="383"/>
      <c r="H214" s="384"/>
    </row>
    <row r="215" spans="2:8" ht="13.8" thickBot="1" x14ac:dyDescent="0.3">
      <c r="B215" s="371" t="s">
        <v>248</v>
      </c>
      <c r="C215" s="385" t="s">
        <v>254</v>
      </c>
      <c r="D215" s="385" t="s">
        <v>2</v>
      </c>
      <c r="E215" s="386"/>
      <c r="F215" s="387" t="s">
        <v>173</v>
      </c>
      <c r="G215" s="387" t="s">
        <v>249</v>
      </c>
      <c r="H215" s="388"/>
    </row>
    <row r="216" spans="2:8" ht="13.8" thickBot="1" x14ac:dyDescent="0.3">
      <c r="B216" s="380" t="s">
        <v>258</v>
      </c>
      <c r="C216" s="389">
        <v>5.67</v>
      </c>
      <c r="D216" s="389">
        <v>1.56</v>
      </c>
      <c r="E216" s="389"/>
      <c r="F216" s="390">
        <v>1</v>
      </c>
      <c r="G216" s="390">
        <f>C216*D216*F216</f>
        <v>8.8452000000000002</v>
      </c>
      <c r="H216" s="391"/>
    </row>
    <row r="217" spans="2:8" x14ac:dyDescent="0.25">
      <c r="B217" s="381" t="s">
        <v>250</v>
      </c>
      <c r="C217" s="389">
        <v>9.6999999999999993</v>
      </c>
      <c r="D217" s="389">
        <v>3.24</v>
      </c>
      <c r="E217" s="389"/>
      <c r="F217" s="390">
        <v>1</v>
      </c>
      <c r="G217" s="390">
        <f t="shared" ref="G217:G218" si="17">C217*D217*F217</f>
        <v>31.428000000000001</v>
      </c>
      <c r="H217" s="391"/>
    </row>
    <row r="218" spans="2:8" x14ac:dyDescent="0.25">
      <c r="B218" s="400" t="s">
        <v>250</v>
      </c>
      <c r="C218" s="401">
        <v>5.0119999999999996</v>
      </c>
      <c r="D218" s="402">
        <v>3.24</v>
      </c>
      <c r="E218" s="402"/>
      <c r="F218" s="403">
        <v>1</v>
      </c>
      <c r="G218" s="403">
        <f t="shared" si="17"/>
        <v>16.238879999999998</v>
      </c>
      <c r="H218" s="404"/>
    </row>
    <row r="219" spans="2:8" ht="13.8" thickBot="1" x14ac:dyDescent="0.3">
      <c r="B219" s="381"/>
      <c r="C219" s="382"/>
      <c r="D219" s="382"/>
      <c r="E219" s="382"/>
      <c r="F219" s="383"/>
      <c r="G219" s="383"/>
      <c r="H219" s="384"/>
    </row>
    <row r="220" spans="2:8" x14ac:dyDescent="0.25">
      <c r="B220" s="366"/>
      <c r="C220" s="296" t="s">
        <v>122</v>
      </c>
      <c r="D220" s="296"/>
      <c r="E220" s="296"/>
      <c r="F220" s="296"/>
      <c r="G220" s="392">
        <f>SUM(G216:G219)</f>
        <v>56.512079999999997</v>
      </c>
      <c r="H220" s="393"/>
    </row>
    <row r="221" spans="2:8" ht="13.8" thickBot="1" x14ac:dyDescent="0.3">
      <c r="B221" s="217"/>
      <c r="C221" s="364"/>
      <c r="D221" s="364"/>
      <c r="E221" s="364"/>
      <c r="F221" s="364"/>
      <c r="G221" s="369" t="s">
        <v>3</v>
      </c>
      <c r="H221" s="370"/>
    </row>
    <row r="223" spans="2:8" ht="13.8" thickBot="1" x14ac:dyDescent="0.3"/>
    <row r="224" spans="2:8" x14ac:dyDescent="0.25">
      <c r="B224" s="394"/>
      <c r="C224" s="395" t="s">
        <v>262</v>
      </c>
      <c r="D224" s="396"/>
      <c r="E224" s="410"/>
      <c r="F224" s="405"/>
    </row>
    <row r="225" spans="2:8" ht="13.8" thickBot="1" x14ac:dyDescent="0.3">
      <c r="B225" s="381"/>
      <c r="C225" s="382"/>
      <c r="D225" s="382"/>
      <c r="E225" s="411"/>
      <c r="F225" s="405"/>
    </row>
    <row r="226" spans="2:8" ht="13.8" thickBot="1" x14ac:dyDescent="0.3">
      <c r="B226" s="371" t="s">
        <v>248</v>
      </c>
      <c r="C226" s="417" t="s">
        <v>254</v>
      </c>
      <c r="D226" s="385" t="s">
        <v>173</v>
      </c>
      <c r="E226" s="412" t="s">
        <v>263</v>
      </c>
      <c r="F226" s="406"/>
    </row>
    <row r="227" spans="2:8" x14ac:dyDescent="0.25">
      <c r="B227" s="213"/>
      <c r="C227" s="418">
        <v>9.51</v>
      </c>
      <c r="D227" s="389">
        <v>3</v>
      </c>
      <c r="E227" s="413">
        <f>D227*C227</f>
        <v>28.53</v>
      </c>
      <c r="F227" s="407"/>
    </row>
    <row r="228" spans="2:8" x14ac:dyDescent="0.25">
      <c r="B228" s="400"/>
      <c r="C228" s="423">
        <v>5.67</v>
      </c>
      <c r="D228" s="414">
        <v>2</v>
      </c>
      <c r="E228" s="415">
        <f t="shared" ref="E228:E230" si="18">D228*C228</f>
        <v>11.34</v>
      </c>
      <c r="F228" s="407"/>
    </row>
    <row r="229" spans="2:8" x14ac:dyDescent="0.25">
      <c r="B229" s="400"/>
      <c r="C229" s="423">
        <v>9.6999999999999993</v>
      </c>
      <c r="D229" s="414">
        <v>3</v>
      </c>
      <c r="E229" s="415">
        <f t="shared" si="18"/>
        <v>29.099999999999998</v>
      </c>
      <c r="F229" s="407"/>
    </row>
    <row r="230" spans="2:8" x14ac:dyDescent="0.25">
      <c r="B230" s="400"/>
      <c r="C230" s="423">
        <v>5.0119999999999996</v>
      </c>
      <c r="D230" s="414">
        <v>3</v>
      </c>
      <c r="E230" s="415">
        <f t="shared" si="18"/>
        <v>15.035999999999998</v>
      </c>
      <c r="F230" s="407"/>
    </row>
    <row r="231" spans="2:8" ht="13.8" thickBot="1" x14ac:dyDescent="0.3">
      <c r="B231" s="422"/>
      <c r="C231" s="419"/>
      <c r="D231" s="420"/>
      <c r="E231" s="421"/>
      <c r="F231" s="405"/>
    </row>
    <row r="232" spans="2:8" x14ac:dyDescent="0.25">
      <c r="B232" s="366"/>
      <c r="C232" s="296" t="s">
        <v>122</v>
      </c>
      <c r="D232" s="296"/>
      <c r="E232" s="416">
        <f>SUM(E227:E231)</f>
        <v>84.006</v>
      </c>
      <c r="F232" s="408"/>
    </row>
    <row r="233" spans="2:8" ht="13.8" thickBot="1" x14ac:dyDescent="0.3">
      <c r="B233" s="217"/>
      <c r="C233" s="364"/>
      <c r="D233" s="364"/>
      <c r="E233" s="370" t="s">
        <v>46</v>
      </c>
      <c r="F233" s="409"/>
    </row>
    <row r="234" spans="2:8" ht="13.8" thickBot="1" x14ac:dyDescent="0.3"/>
    <row r="235" spans="2:8" x14ac:dyDescent="0.25">
      <c r="B235" s="394"/>
      <c r="C235" s="395" t="s">
        <v>264</v>
      </c>
      <c r="D235" s="396"/>
      <c r="E235" s="396"/>
      <c r="F235" s="397"/>
      <c r="G235" s="397"/>
      <c r="H235" s="398"/>
    </row>
    <row r="236" spans="2:8" ht="13.8" thickBot="1" x14ac:dyDescent="0.3">
      <c r="B236" s="381"/>
      <c r="C236" s="424" t="s">
        <v>254</v>
      </c>
      <c r="D236" s="424" t="s">
        <v>267</v>
      </c>
      <c r="E236" s="424" t="s">
        <v>253</v>
      </c>
      <c r="F236" s="425" t="s">
        <v>6</v>
      </c>
      <c r="G236" s="425" t="s">
        <v>26</v>
      </c>
      <c r="H236" s="384"/>
    </row>
    <row r="237" spans="2:8" ht="13.8" thickBot="1" x14ac:dyDescent="0.3">
      <c r="B237" s="380" t="s">
        <v>250</v>
      </c>
      <c r="C237" s="389">
        <v>5.67</v>
      </c>
      <c r="D237" s="389">
        <v>1.56</v>
      </c>
      <c r="E237" s="389">
        <v>0.05</v>
      </c>
      <c r="F237" s="390">
        <v>1</v>
      </c>
      <c r="G237" s="390">
        <f>F237*E237*D237*C237</f>
        <v>0.4422600000000001</v>
      </c>
      <c r="H237" s="388"/>
    </row>
    <row r="238" spans="2:8" ht="13.8" thickBot="1" x14ac:dyDescent="0.3">
      <c r="B238" s="381" t="s">
        <v>250</v>
      </c>
      <c r="C238" s="389">
        <v>9.6999999999999993</v>
      </c>
      <c r="D238" s="389">
        <v>3.24</v>
      </c>
      <c r="E238" s="389">
        <v>0.05</v>
      </c>
      <c r="F238" s="390">
        <v>1</v>
      </c>
      <c r="G238" s="390">
        <f t="shared" ref="G238:G239" si="19">F238*E238*D238*C238</f>
        <v>1.5714000000000001</v>
      </c>
      <c r="H238" s="391"/>
    </row>
    <row r="239" spans="2:8" ht="13.8" thickBot="1" x14ac:dyDescent="0.3">
      <c r="B239" s="381" t="s">
        <v>250</v>
      </c>
      <c r="C239" s="389">
        <v>5.0119999999999996</v>
      </c>
      <c r="D239" s="389">
        <v>3.24</v>
      </c>
      <c r="E239" s="389">
        <v>0.05</v>
      </c>
      <c r="F239" s="390">
        <v>1</v>
      </c>
      <c r="G239" s="390">
        <f t="shared" si="19"/>
        <v>0.81194400000000011</v>
      </c>
      <c r="H239" s="391"/>
    </row>
    <row r="240" spans="2:8" x14ac:dyDescent="0.25">
      <c r="B240" s="381"/>
      <c r="C240" s="389"/>
      <c r="D240" s="389"/>
      <c r="E240" s="389"/>
      <c r="F240" s="390"/>
      <c r="G240" s="390"/>
      <c r="H240" s="391"/>
    </row>
    <row r="241" spans="1:8" ht="13.8" thickBot="1" x14ac:dyDescent="0.3">
      <c r="B241" s="381"/>
      <c r="C241" s="382"/>
      <c r="D241" s="382"/>
      <c r="E241" s="382"/>
      <c r="F241" s="383"/>
      <c r="G241" s="383"/>
      <c r="H241" s="384"/>
    </row>
    <row r="242" spans="1:8" x14ac:dyDescent="0.25">
      <c r="B242" s="366"/>
      <c r="C242" s="296" t="s">
        <v>122</v>
      </c>
      <c r="D242" s="296"/>
      <c r="E242" s="296"/>
      <c r="F242" s="296"/>
      <c r="G242" s="392">
        <f>SUM(G238:G241)</f>
        <v>2.3833440000000001</v>
      </c>
      <c r="H242" s="393"/>
    </row>
    <row r="243" spans="1:8" ht="13.8" thickBot="1" x14ac:dyDescent="0.3">
      <c r="B243" s="217"/>
      <c r="C243" s="364"/>
      <c r="D243" s="364"/>
      <c r="E243" s="364"/>
      <c r="F243" s="364"/>
      <c r="G243" s="369" t="s">
        <v>29</v>
      </c>
      <c r="H243" s="370"/>
    </row>
    <row r="245" spans="1:8" ht="13.8" thickBot="1" x14ac:dyDescent="0.3"/>
    <row r="246" spans="1:8" x14ac:dyDescent="0.25">
      <c r="B246" s="394"/>
      <c r="C246" s="395" t="s">
        <v>265</v>
      </c>
      <c r="D246" s="396"/>
      <c r="E246" s="396"/>
      <c r="F246" s="397"/>
      <c r="G246" s="397"/>
      <c r="H246" s="398"/>
    </row>
    <row r="247" spans="1:8" ht="13.8" thickBot="1" x14ac:dyDescent="0.3">
      <c r="B247" s="381"/>
      <c r="C247" s="424" t="s">
        <v>4</v>
      </c>
      <c r="D247" s="424" t="s">
        <v>266</v>
      </c>
      <c r="E247" s="424" t="s">
        <v>254</v>
      </c>
      <c r="F247" s="425" t="s">
        <v>6</v>
      </c>
      <c r="G247" s="425" t="s">
        <v>26</v>
      </c>
      <c r="H247" s="384" t="s">
        <v>456</v>
      </c>
    </row>
    <row r="248" spans="1:8" ht="13.8" thickBot="1" x14ac:dyDescent="0.3">
      <c r="B248" s="380"/>
      <c r="C248" s="389">
        <v>0.4</v>
      </c>
      <c r="D248" s="389">
        <v>0.15</v>
      </c>
      <c r="E248" s="389">
        <v>84</v>
      </c>
      <c r="F248" s="390">
        <v>1</v>
      </c>
      <c r="G248" s="390">
        <f>F248*E248*D248*C248</f>
        <v>5.04</v>
      </c>
      <c r="H248" s="388">
        <f>(D248*D248+C248)*E248*F248</f>
        <v>35.49</v>
      </c>
    </row>
    <row r="249" spans="1:8" ht="13.8" thickBot="1" x14ac:dyDescent="0.3">
      <c r="B249" s="381"/>
      <c r="C249" s="389">
        <v>0.15</v>
      </c>
      <c r="D249" s="389">
        <v>0.12</v>
      </c>
      <c r="E249" s="389">
        <v>84</v>
      </c>
      <c r="F249" s="390">
        <v>1</v>
      </c>
      <c r="G249" s="390">
        <f t="shared" ref="G249" si="20">F249*E249*D249*C249</f>
        <v>1.512</v>
      </c>
      <c r="H249" s="388">
        <f>(D249*D249+C249)*E249*F249</f>
        <v>13.8096</v>
      </c>
    </row>
    <row r="250" spans="1:8" ht="13.8" thickBot="1" x14ac:dyDescent="0.3">
      <c r="B250" s="381"/>
      <c r="C250" s="389"/>
      <c r="D250" s="389"/>
      <c r="E250" s="389"/>
      <c r="F250" s="390"/>
      <c r="G250" s="390"/>
      <c r="H250" s="391"/>
    </row>
    <row r="251" spans="1:8" x14ac:dyDescent="0.25">
      <c r="B251" s="381"/>
      <c r="C251" s="389"/>
      <c r="D251" s="389"/>
      <c r="E251" s="389"/>
      <c r="F251" s="390"/>
      <c r="G251" s="390"/>
      <c r="H251" s="391"/>
    </row>
    <row r="252" spans="1:8" ht="13.8" thickBot="1" x14ac:dyDescent="0.3">
      <c r="B252" s="381"/>
      <c r="C252" s="382"/>
      <c r="D252" s="382"/>
      <c r="E252" s="382"/>
      <c r="F252" s="383"/>
      <c r="G252" s="383"/>
      <c r="H252" s="384"/>
    </row>
    <row r="253" spans="1:8" x14ac:dyDescent="0.25">
      <c r="B253" s="366"/>
      <c r="C253" s="296" t="s">
        <v>122</v>
      </c>
      <c r="D253" s="296"/>
      <c r="E253" s="296"/>
      <c r="F253" s="296"/>
      <c r="G253" s="392">
        <f>SUM(G249:G252)</f>
        <v>1.512</v>
      </c>
      <c r="H253" s="393">
        <f>SUM(H248:H252)</f>
        <v>49.299599999999998</v>
      </c>
    </row>
    <row r="254" spans="1:8" ht="13.8" thickBot="1" x14ac:dyDescent="0.3">
      <c r="B254" s="217"/>
      <c r="C254" s="364"/>
      <c r="D254" s="364"/>
      <c r="E254" s="364"/>
      <c r="F254" s="364"/>
      <c r="G254" s="369" t="s">
        <v>29</v>
      </c>
      <c r="H254" s="370" t="s">
        <v>3</v>
      </c>
    </row>
    <row r="256" spans="1:8" x14ac:dyDescent="0.25">
      <c r="A256" s="22" t="s">
        <v>221</v>
      </c>
      <c r="B256" s="22" t="s">
        <v>340</v>
      </c>
    </row>
    <row r="257" spans="2:11" ht="13.8" thickBot="1" x14ac:dyDescent="0.3">
      <c r="B257" s="14" t="s">
        <v>355</v>
      </c>
    </row>
    <row r="258" spans="2:11" ht="13.8" thickBot="1" x14ac:dyDescent="0.3">
      <c r="B258" s="394"/>
      <c r="C258" s="395" t="s">
        <v>455</v>
      </c>
      <c r="D258" s="396"/>
      <c r="E258" s="396"/>
      <c r="F258" s="397"/>
      <c r="G258" s="397"/>
      <c r="H258" s="398"/>
      <c r="I258" s="431"/>
      <c r="J258" s="398"/>
      <c r="K258" s="430"/>
    </row>
    <row r="259" spans="2:11" ht="13.8" thickBot="1" x14ac:dyDescent="0.3">
      <c r="B259" s="351"/>
      <c r="C259" s="385" t="s">
        <v>254</v>
      </c>
      <c r="D259" s="385" t="s">
        <v>267</v>
      </c>
      <c r="E259" s="385" t="s">
        <v>253</v>
      </c>
      <c r="F259" s="387" t="s">
        <v>6</v>
      </c>
      <c r="G259" s="387" t="s">
        <v>26</v>
      </c>
      <c r="H259" s="388" t="s">
        <v>343</v>
      </c>
      <c r="I259" s="388" t="s">
        <v>369</v>
      </c>
      <c r="J259" s="459" t="s">
        <v>7</v>
      </c>
      <c r="K259" s="459" t="s">
        <v>348</v>
      </c>
    </row>
    <row r="260" spans="2:11" ht="13.8" thickBot="1" x14ac:dyDescent="0.3">
      <c r="B260" s="380" t="s">
        <v>250</v>
      </c>
      <c r="C260" s="389">
        <v>1.2</v>
      </c>
      <c r="D260" s="389">
        <v>0.2</v>
      </c>
      <c r="E260" s="389">
        <v>0.05</v>
      </c>
      <c r="F260" s="390">
        <v>2</v>
      </c>
      <c r="G260" s="390">
        <f>F260*E260*D260*C260</f>
        <v>2.4000000000000004E-2</v>
      </c>
      <c r="H260" s="388">
        <f>C260*D260*F260+1.2*0.2*2</f>
        <v>0.96</v>
      </c>
      <c r="I260" s="388"/>
      <c r="J260" s="388"/>
      <c r="K260" s="388"/>
    </row>
    <row r="261" spans="2:11" ht="13.8" thickBot="1" x14ac:dyDescent="0.3">
      <c r="B261" s="381"/>
      <c r="C261" s="389">
        <v>0.4</v>
      </c>
      <c r="D261" s="389">
        <v>0.2</v>
      </c>
      <c r="E261" s="389">
        <v>0.05</v>
      </c>
      <c r="F261" s="390">
        <v>2</v>
      </c>
      <c r="G261" s="390">
        <f>F261*E261*D261*C261</f>
        <v>8.0000000000000019E-3</v>
      </c>
      <c r="H261" s="388">
        <f>C261*D261*F261+0.4*0.2*2</f>
        <v>0.32000000000000006</v>
      </c>
      <c r="I261" s="388"/>
      <c r="J261" s="391"/>
      <c r="K261" s="391"/>
    </row>
    <row r="262" spans="2:11" ht="13.8" thickBot="1" x14ac:dyDescent="0.3">
      <c r="B262" s="433" t="s">
        <v>350</v>
      </c>
      <c r="C262" s="386"/>
      <c r="D262" s="386"/>
      <c r="E262" s="386"/>
      <c r="F262" s="434"/>
      <c r="G262" s="435">
        <f>SUM(G260:G261)</f>
        <v>3.2000000000000008E-2</v>
      </c>
      <c r="H262" s="388">
        <f>SUM(H260:H261)</f>
        <v>1.28</v>
      </c>
      <c r="I262" s="388"/>
      <c r="J262" s="183" t="s">
        <v>29</v>
      </c>
      <c r="K262" s="306"/>
    </row>
    <row r="263" spans="2:11" ht="13.8" thickBot="1" x14ac:dyDescent="0.3">
      <c r="B263" s="381"/>
      <c r="C263" s="414"/>
      <c r="D263" s="414"/>
      <c r="E263" s="414"/>
      <c r="F263" s="432"/>
      <c r="G263" s="432"/>
      <c r="H263" s="311"/>
      <c r="I263" s="311"/>
      <c r="J263" s="311"/>
      <c r="K263" s="311"/>
    </row>
    <row r="264" spans="2:11" ht="13.8" thickBot="1" x14ac:dyDescent="0.3">
      <c r="B264" s="298" t="s">
        <v>346</v>
      </c>
      <c r="C264" s="389"/>
      <c r="D264" s="389"/>
      <c r="E264" s="389"/>
      <c r="F264" s="390"/>
      <c r="G264" s="390"/>
      <c r="H264" s="391"/>
      <c r="I264" s="391"/>
      <c r="J264" s="393" t="s">
        <v>16</v>
      </c>
      <c r="K264" s="393">
        <v>10</v>
      </c>
    </row>
    <row r="265" spans="2:11" ht="13.8" thickBot="1" x14ac:dyDescent="0.3">
      <c r="B265" s="427" t="s">
        <v>349</v>
      </c>
      <c r="C265" s="389">
        <v>0.6</v>
      </c>
      <c r="D265" s="389">
        <v>0.05</v>
      </c>
      <c r="E265" s="389">
        <v>0.05</v>
      </c>
      <c r="F265" s="390">
        <v>8</v>
      </c>
      <c r="G265" s="390">
        <f>F265*E265*D265*C265</f>
        <v>1.2000000000000002E-2</v>
      </c>
      <c r="H265" s="391"/>
      <c r="I265" s="391"/>
      <c r="J265" s="391"/>
      <c r="K265" s="393"/>
    </row>
    <row r="266" spans="2:11" ht="13.8" thickBot="1" x14ac:dyDescent="0.3">
      <c r="B266" s="427"/>
      <c r="C266" s="389">
        <v>4.03</v>
      </c>
      <c r="D266" s="389">
        <v>0.05</v>
      </c>
      <c r="E266" s="389">
        <v>0.05</v>
      </c>
      <c r="F266" s="390">
        <v>4</v>
      </c>
      <c r="G266" s="390">
        <f>F266*E266*D266*C266</f>
        <v>4.0300000000000009E-2</v>
      </c>
      <c r="H266" s="391"/>
      <c r="I266" s="391"/>
      <c r="J266" s="391"/>
      <c r="K266" s="393"/>
    </row>
    <row r="267" spans="2:11" ht="13.8" thickBot="1" x14ac:dyDescent="0.3">
      <c r="B267" s="427"/>
      <c r="C267" s="389">
        <v>1</v>
      </c>
      <c r="D267" s="389">
        <v>0.05</v>
      </c>
      <c r="E267" s="389">
        <v>0.05</v>
      </c>
      <c r="F267" s="390">
        <v>6</v>
      </c>
      <c r="G267" s="390">
        <f>F267*E267*D267*C267</f>
        <v>1.5000000000000003E-2</v>
      </c>
      <c r="H267" s="391"/>
      <c r="I267" s="391"/>
      <c r="J267" s="391"/>
      <c r="K267" s="393"/>
    </row>
    <row r="268" spans="2:11" ht="13.8" thickBot="1" x14ac:dyDescent="0.3">
      <c r="B268" s="347" t="s">
        <v>351</v>
      </c>
      <c r="C268" s="386"/>
      <c r="D268" s="386"/>
      <c r="E268" s="386"/>
      <c r="F268" s="434"/>
      <c r="G268" s="435">
        <f>SUM(G265:G267)</f>
        <v>6.7300000000000013E-2</v>
      </c>
      <c r="H268" s="306"/>
      <c r="I268" s="306"/>
      <c r="J268" s="183" t="s">
        <v>29</v>
      </c>
      <c r="K268" s="183"/>
    </row>
    <row r="269" spans="2:11" ht="13.8" thickBot="1" x14ac:dyDescent="0.3">
      <c r="B269" s="381"/>
      <c r="C269" s="414"/>
      <c r="D269" s="414"/>
      <c r="E269" s="414"/>
      <c r="F269" s="432"/>
      <c r="G269" s="432"/>
      <c r="H269" s="311"/>
      <c r="I269" s="311"/>
      <c r="J269" s="311"/>
      <c r="K269" s="311"/>
    </row>
    <row r="270" spans="2:11" ht="13.8" thickBot="1" x14ac:dyDescent="0.3">
      <c r="B270" s="371" t="s">
        <v>344</v>
      </c>
      <c r="C270" s="458"/>
      <c r="D270" s="458"/>
      <c r="E270" s="458"/>
      <c r="F270" s="435"/>
      <c r="G270" s="435"/>
      <c r="H270" s="183"/>
      <c r="I270" s="183">
        <v>4</v>
      </c>
      <c r="J270" s="183" t="s">
        <v>108</v>
      </c>
      <c r="K270" s="388"/>
    </row>
    <row r="271" spans="2:11" ht="13.8" thickBot="1" x14ac:dyDescent="0.3">
      <c r="B271" s="347" t="s">
        <v>345</v>
      </c>
      <c r="C271" s="436"/>
      <c r="D271" s="436"/>
      <c r="E271" s="436"/>
      <c r="F271" s="437"/>
      <c r="G271" s="437"/>
      <c r="H271" s="438"/>
      <c r="I271" s="439">
        <v>21</v>
      </c>
      <c r="J271" s="439" t="s">
        <v>108</v>
      </c>
      <c r="K271" s="440"/>
    </row>
    <row r="274" spans="1:11" x14ac:dyDescent="0.25">
      <c r="A274" s="22" t="s">
        <v>352</v>
      </c>
      <c r="B274" s="22" t="s">
        <v>353</v>
      </c>
    </row>
    <row r="275" spans="1:11" x14ac:dyDescent="0.25">
      <c r="B275" s="22" t="s">
        <v>354</v>
      </c>
    </row>
    <row r="276" spans="1:11" ht="13.8" thickBot="1" x14ac:dyDescent="0.3"/>
    <row r="277" spans="1:11" ht="13.8" thickBot="1" x14ac:dyDescent="0.3">
      <c r="B277" s="394"/>
      <c r="C277" s="395" t="s">
        <v>356</v>
      </c>
      <c r="D277" s="396"/>
      <c r="E277" s="396"/>
      <c r="F277" s="397"/>
      <c r="G277" s="397"/>
      <c r="H277" s="398"/>
      <c r="I277" s="431"/>
      <c r="J277" s="398"/>
      <c r="K277" s="430"/>
    </row>
    <row r="278" spans="1:11" ht="13.8" thickBot="1" x14ac:dyDescent="0.3">
      <c r="B278" s="351"/>
      <c r="C278" s="385" t="s">
        <v>254</v>
      </c>
      <c r="D278" s="385" t="s">
        <v>267</v>
      </c>
      <c r="E278" s="385" t="s">
        <v>359</v>
      </c>
      <c r="F278" s="387" t="s">
        <v>6</v>
      </c>
      <c r="G278" s="387" t="s">
        <v>26</v>
      </c>
      <c r="H278" s="388" t="s">
        <v>343</v>
      </c>
      <c r="I278" s="388" t="s">
        <v>347</v>
      </c>
      <c r="J278" s="459" t="s">
        <v>7</v>
      </c>
      <c r="K278" s="459" t="s">
        <v>348</v>
      </c>
    </row>
    <row r="279" spans="1:11" ht="13.8" thickBot="1" x14ac:dyDescent="0.3">
      <c r="B279" s="380" t="s">
        <v>357</v>
      </c>
      <c r="C279" s="389">
        <v>19.53</v>
      </c>
      <c r="D279" s="389">
        <v>3.18</v>
      </c>
      <c r="E279" s="389">
        <v>1.35</v>
      </c>
      <c r="F279" s="390">
        <v>1</v>
      </c>
      <c r="G279" s="390">
        <f>F279*E279*D279*C279</f>
        <v>83.842290000000006</v>
      </c>
      <c r="H279" s="388"/>
      <c r="I279" s="388"/>
      <c r="J279" s="388"/>
      <c r="K279" s="388"/>
    </row>
    <row r="280" spans="1:11" ht="13.8" thickBot="1" x14ac:dyDescent="0.3">
      <c r="B280" s="380"/>
      <c r="C280" s="389">
        <v>8.36</v>
      </c>
      <c r="D280" s="389">
        <v>3.18</v>
      </c>
      <c r="E280" s="389">
        <v>1.35</v>
      </c>
      <c r="F280" s="390">
        <v>1</v>
      </c>
      <c r="G280" s="390">
        <f t="shared" ref="G280:G283" si="21">F280*E280*D280*C280</f>
        <v>35.889479999999999</v>
      </c>
      <c r="H280" s="388"/>
      <c r="I280" s="388"/>
      <c r="J280" s="429"/>
      <c r="K280" s="429"/>
    </row>
    <row r="281" spans="1:11" ht="13.8" thickBot="1" x14ac:dyDescent="0.3">
      <c r="B281" s="380" t="s">
        <v>358</v>
      </c>
      <c r="C281" s="389">
        <v>23.06</v>
      </c>
      <c r="D281" s="389">
        <v>2.58</v>
      </c>
      <c r="E281" s="389">
        <v>1.35</v>
      </c>
      <c r="F281" s="390">
        <v>1</v>
      </c>
      <c r="G281" s="390">
        <f t="shared" si="21"/>
        <v>80.317980000000006</v>
      </c>
      <c r="H281" s="388"/>
      <c r="I281" s="388"/>
      <c r="J281" s="391"/>
      <c r="K281" s="391"/>
    </row>
    <row r="282" spans="1:11" ht="13.8" thickBot="1" x14ac:dyDescent="0.3">
      <c r="B282" s="381"/>
      <c r="C282" s="386">
        <v>15.89</v>
      </c>
      <c r="D282" s="386">
        <v>2.58</v>
      </c>
      <c r="E282" s="386">
        <v>1.35</v>
      </c>
      <c r="F282" s="434">
        <v>1</v>
      </c>
      <c r="G282" s="390">
        <f t="shared" si="21"/>
        <v>55.344870000000007</v>
      </c>
      <c r="H282" s="388"/>
      <c r="I282" s="388"/>
      <c r="J282" s="183"/>
      <c r="K282" s="306"/>
    </row>
    <row r="283" spans="1:11" ht="13.8" thickBot="1" x14ac:dyDescent="0.3">
      <c r="B283" s="381"/>
      <c r="C283" s="414">
        <v>3.1</v>
      </c>
      <c r="D283" s="414">
        <v>2.2000000000000002</v>
      </c>
      <c r="E283" s="414">
        <v>1.35</v>
      </c>
      <c r="F283" s="432">
        <v>1</v>
      </c>
      <c r="G283" s="390">
        <f t="shared" si="21"/>
        <v>9.2070000000000025</v>
      </c>
      <c r="H283" s="311"/>
      <c r="I283" s="311"/>
      <c r="J283" s="311"/>
      <c r="K283" s="311"/>
    </row>
    <row r="284" spans="1:11" ht="13.8" thickBot="1" x14ac:dyDescent="0.3">
      <c r="B284" s="463" t="s">
        <v>360</v>
      </c>
      <c r="C284" s="475"/>
      <c r="D284" s="475"/>
      <c r="E284" s="475"/>
      <c r="F284" s="476"/>
      <c r="G284" s="477">
        <f>SUM(G279:G283)</f>
        <v>264.60162000000003</v>
      </c>
      <c r="H284" s="478"/>
      <c r="I284" s="478"/>
      <c r="J284" s="479" t="s">
        <v>29</v>
      </c>
      <c r="K284" s="479"/>
    </row>
    <row r="285" spans="1:11" ht="13.8" thickBot="1" x14ac:dyDescent="0.3">
      <c r="B285" s="427"/>
      <c r="C285" s="389"/>
      <c r="D285" s="389"/>
      <c r="E285" s="389"/>
      <c r="F285" s="390"/>
      <c r="G285" s="390"/>
      <c r="H285" s="391"/>
      <c r="I285" s="391"/>
      <c r="J285" s="393"/>
      <c r="K285" s="393"/>
    </row>
    <row r="286" spans="1:11" ht="13.8" thickBot="1" x14ac:dyDescent="0.3">
      <c r="B286" s="443" t="s">
        <v>361</v>
      </c>
      <c r="C286" s="444"/>
      <c r="D286" s="444"/>
      <c r="E286" s="444"/>
      <c r="F286" s="445"/>
      <c r="G286" s="445"/>
      <c r="H286" s="446"/>
      <c r="I286" s="446"/>
      <c r="J286" s="447"/>
      <c r="K286" s="447"/>
    </row>
    <row r="287" spans="1:11" ht="13.8" thickBot="1" x14ac:dyDescent="0.3">
      <c r="B287" s="371" t="s">
        <v>362</v>
      </c>
      <c r="C287" s="389">
        <v>2</v>
      </c>
      <c r="D287" s="389">
        <v>0.9</v>
      </c>
      <c r="E287" s="389">
        <v>0.15</v>
      </c>
      <c r="F287" s="390">
        <v>1</v>
      </c>
      <c r="G287" s="390">
        <f t="shared" ref="G287:G301" si="22">F287*E287*D287*C287</f>
        <v>0.27</v>
      </c>
      <c r="H287" s="456">
        <f>C287*D287*F287</f>
        <v>1.8</v>
      </c>
      <c r="I287" s="457"/>
      <c r="J287" s="393"/>
      <c r="K287" s="393"/>
    </row>
    <row r="288" spans="1:11" ht="13.8" thickBot="1" x14ac:dyDescent="0.3">
      <c r="B288" s="427"/>
      <c r="C288" s="389">
        <v>6.46</v>
      </c>
      <c r="D288" s="389">
        <v>1.8</v>
      </c>
      <c r="E288" s="389">
        <v>0.15</v>
      </c>
      <c r="F288" s="390">
        <v>1</v>
      </c>
      <c r="G288" s="390">
        <f t="shared" si="22"/>
        <v>1.7442000000000002</v>
      </c>
      <c r="H288" s="456">
        <f t="shared" ref="H288:H292" si="23">C288*D288*F288</f>
        <v>11.628</v>
      </c>
      <c r="I288" s="457"/>
      <c r="J288" s="393"/>
      <c r="K288" s="393"/>
    </row>
    <row r="289" spans="2:11" ht="13.8" thickBot="1" x14ac:dyDescent="0.3">
      <c r="B289" s="427"/>
      <c r="C289" s="389">
        <v>18.38</v>
      </c>
      <c r="D289" s="389">
        <v>1.8</v>
      </c>
      <c r="E289" s="389">
        <v>0.15</v>
      </c>
      <c r="F289" s="390">
        <v>1</v>
      </c>
      <c r="G289" s="390">
        <f t="shared" si="22"/>
        <v>4.9626000000000001</v>
      </c>
      <c r="H289" s="456">
        <f t="shared" si="23"/>
        <v>33.083999999999996</v>
      </c>
      <c r="I289" s="457"/>
      <c r="J289" s="393"/>
      <c r="K289" s="393"/>
    </row>
    <row r="290" spans="2:11" ht="13.8" thickBot="1" x14ac:dyDescent="0.3">
      <c r="B290" s="427"/>
      <c r="C290" s="389"/>
      <c r="D290" s="389"/>
      <c r="E290" s="389"/>
      <c r="F290" s="390"/>
      <c r="G290" s="390"/>
      <c r="H290" s="456"/>
      <c r="I290" s="457"/>
      <c r="J290" s="391"/>
      <c r="K290" s="393"/>
    </row>
    <row r="291" spans="2:11" ht="13.8" thickBot="1" x14ac:dyDescent="0.3">
      <c r="B291" s="371" t="s">
        <v>363</v>
      </c>
      <c r="C291" s="389">
        <v>17.38</v>
      </c>
      <c r="D291" s="389">
        <v>1.8</v>
      </c>
      <c r="E291" s="389">
        <v>0.15</v>
      </c>
      <c r="F291" s="390">
        <v>1</v>
      </c>
      <c r="G291" s="390">
        <f t="shared" si="22"/>
        <v>4.6925999999999997</v>
      </c>
      <c r="H291" s="456">
        <f t="shared" si="23"/>
        <v>31.283999999999999</v>
      </c>
      <c r="I291" s="457"/>
      <c r="J291" s="391"/>
      <c r="K291" s="393"/>
    </row>
    <row r="292" spans="2:11" ht="13.8" thickBot="1" x14ac:dyDescent="0.3">
      <c r="B292" s="427"/>
      <c r="C292" s="448">
        <v>6.46</v>
      </c>
      <c r="D292" s="386">
        <v>1.8</v>
      </c>
      <c r="E292" s="386">
        <v>0.15</v>
      </c>
      <c r="F292" s="434">
        <v>1</v>
      </c>
      <c r="G292" s="434">
        <f t="shared" si="22"/>
        <v>1.7442000000000002</v>
      </c>
      <c r="H292" s="303">
        <f t="shared" si="23"/>
        <v>11.628</v>
      </c>
      <c r="I292" s="304"/>
      <c r="J292" s="306"/>
      <c r="K292" s="183"/>
    </row>
    <row r="293" spans="2:11" ht="13.8" thickBot="1" x14ac:dyDescent="0.3">
      <c r="B293" s="427"/>
      <c r="C293" s="448"/>
      <c r="D293" s="386"/>
      <c r="E293" s="386"/>
      <c r="F293" s="434"/>
      <c r="G293" s="434"/>
      <c r="H293" s="305"/>
      <c r="I293" s="304"/>
      <c r="J293" s="306"/>
      <c r="K293" s="183"/>
    </row>
    <row r="294" spans="2:11" ht="13.8" thickBot="1" x14ac:dyDescent="0.3">
      <c r="B294" s="371" t="s">
        <v>364</v>
      </c>
      <c r="C294" s="448">
        <v>2.2999999999999998</v>
      </c>
      <c r="D294" s="386">
        <v>1.35</v>
      </c>
      <c r="E294" s="386">
        <v>0.15</v>
      </c>
      <c r="F294" s="434">
        <v>1</v>
      </c>
      <c r="G294" s="434">
        <f t="shared" si="22"/>
        <v>0.46575</v>
      </c>
      <c r="H294" s="335">
        <f>(D294+D294+E294)*C294*F294</f>
        <v>6.5549999999999997</v>
      </c>
      <c r="I294" s="304"/>
      <c r="J294" s="183"/>
      <c r="K294" s="183"/>
    </row>
    <row r="295" spans="2:11" ht="13.8" thickBot="1" x14ac:dyDescent="0.3">
      <c r="B295" s="298"/>
      <c r="C295" s="386">
        <v>0.6</v>
      </c>
      <c r="D295" s="386">
        <v>1.35</v>
      </c>
      <c r="E295" s="386">
        <v>0.15</v>
      </c>
      <c r="F295" s="434">
        <v>2</v>
      </c>
      <c r="G295" s="434">
        <f t="shared" ref="G295:G298" si="24">F295*E295*D295*C295</f>
        <v>0.24299999999999999</v>
      </c>
      <c r="H295" s="335">
        <f t="shared" ref="H295:H298" si="25">(D295+D295+E295)*C295*F295</f>
        <v>3.42</v>
      </c>
      <c r="I295" s="304"/>
      <c r="J295" s="183"/>
      <c r="K295" s="183"/>
    </row>
    <row r="296" spans="2:11" ht="13.8" thickBot="1" x14ac:dyDescent="0.3">
      <c r="B296" s="427"/>
      <c r="C296" s="386">
        <v>6.61</v>
      </c>
      <c r="D296" s="386">
        <v>1.1000000000000001</v>
      </c>
      <c r="E296" s="386">
        <v>0.19</v>
      </c>
      <c r="F296" s="434">
        <v>1</v>
      </c>
      <c r="G296" s="434">
        <f t="shared" si="24"/>
        <v>1.3814900000000001</v>
      </c>
      <c r="H296" s="335">
        <f t="shared" si="25"/>
        <v>15.797900000000002</v>
      </c>
      <c r="I296" s="304"/>
      <c r="J296" s="183"/>
      <c r="K296" s="183"/>
    </row>
    <row r="297" spans="2:11" ht="13.8" thickBot="1" x14ac:dyDescent="0.3">
      <c r="B297" s="427"/>
      <c r="C297" s="386">
        <v>8.7899999999999991</v>
      </c>
      <c r="D297" s="386">
        <v>1.1000000000000001</v>
      </c>
      <c r="E297" s="386">
        <v>0.19</v>
      </c>
      <c r="F297" s="434">
        <v>1</v>
      </c>
      <c r="G297" s="434">
        <f t="shared" si="24"/>
        <v>1.83711</v>
      </c>
      <c r="H297" s="335">
        <f t="shared" si="25"/>
        <v>21.008099999999999</v>
      </c>
      <c r="I297" s="304"/>
      <c r="J297" s="183"/>
      <c r="K297" s="183"/>
    </row>
    <row r="298" spans="2:11" ht="13.8" thickBot="1" x14ac:dyDescent="0.3">
      <c r="B298" s="427"/>
      <c r="C298" s="386">
        <v>17.190000000000001</v>
      </c>
      <c r="D298" s="386">
        <v>1.1000000000000001</v>
      </c>
      <c r="E298" s="386">
        <v>0.19</v>
      </c>
      <c r="F298" s="434">
        <v>1</v>
      </c>
      <c r="G298" s="434">
        <f t="shared" si="24"/>
        <v>3.5927100000000007</v>
      </c>
      <c r="H298" s="335">
        <f t="shared" si="25"/>
        <v>41.084100000000007</v>
      </c>
      <c r="I298" s="304"/>
      <c r="J298" s="183"/>
      <c r="K298" s="183"/>
    </row>
    <row r="299" spans="2:11" ht="13.8" thickBot="1" x14ac:dyDescent="0.3">
      <c r="B299" s="427"/>
      <c r="C299" s="386">
        <v>15.2</v>
      </c>
      <c r="D299" s="386">
        <v>1.1000000000000001</v>
      </c>
      <c r="E299" s="386">
        <v>0.19</v>
      </c>
      <c r="F299" s="434">
        <v>1</v>
      </c>
      <c r="G299" s="434">
        <f t="shared" si="22"/>
        <v>3.1768000000000001</v>
      </c>
      <c r="H299" s="335">
        <f t="shared" ref="H299:H301" si="26">(D299+D299+E299)*C299*F299</f>
        <v>36.328000000000003</v>
      </c>
      <c r="I299" s="304"/>
      <c r="J299" s="183"/>
      <c r="K299" s="183"/>
    </row>
    <row r="300" spans="2:11" ht="13.8" thickBot="1" x14ac:dyDescent="0.3">
      <c r="B300" s="427"/>
      <c r="C300" s="386">
        <v>1</v>
      </c>
      <c r="D300" s="386">
        <v>1.35</v>
      </c>
      <c r="E300" s="386">
        <v>0.15</v>
      </c>
      <c r="F300" s="434">
        <v>2</v>
      </c>
      <c r="G300" s="434">
        <f t="shared" si="22"/>
        <v>0.40500000000000003</v>
      </c>
      <c r="H300" s="335">
        <f t="shared" si="26"/>
        <v>5.7</v>
      </c>
      <c r="I300" s="304"/>
      <c r="J300" s="183"/>
      <c r="K300" s="183"/>
    </row>
    <row r="301" spans="2:11" ht="13.8" thickBot="1" x14ac:dyDescent="0.3">
      <c r="B301" s="427"/>
      <c r="C301" s="386">
        <v>2.1</v>
      </c>
      <c r="D301" s="386">
        <v>1.35</v>
      </c>
      <c r="E301" s="386">
        <v>0.15</v>
      </c>
      <c r="F301" s="434">
        <v>1</v>
      </c>
      <c r="G301" s="434">
        <f t="shared" si="22"/>
        <v>0.42525000000000007</v>
      </c>
      <c r="H301" s="335">
        <f t="shared" si="26"/>
        <v>5.9850000000000003</v>
      </c>
      <c r="I301" s="304"/>
      <c r="J301" s="183"/>
      <c r="K301" s="183"/>
    </row>
    <row r="302" spans="2:11" ht="13.8" thickBot="1" x14ac:dyDescent="0.3">
      <c r="B302" s="347"/>
      <c r="C302" s="386"/>
      <c r="D302" s="386"/>
      <c r="E302" s="386"/>
      <c r="F302" s="434"/>
      <c r="G302" s="434"/>
      <c r="H302" s="335"/>
      <c r="I302" s="304"/>
      <c r="J302" s="183"/>
      <c r="K302" s="183"/>
    </row>
    <row r="303" spans="2:11" ht="13.8" thickBot="1" x14ac:dyDescent="0.3">
      <c r="B303" s="443" t="s">
        <v>365</v>
      </c>
      <c r="C303" s="453"/>
      <c r="D303" s="453"/>
      <c r="E303" s="453"/>
      <c r="F303" s="454"/>
      <c r="G303" s="454"/>
      <c r="H303" s="449"/>
      <c r="I303" s="449"/>
      <c r="J303" s="455"/>
      <c r="K303" s="455"/>
    </row>
    <row r="304" spans="2:11" ht="13.8" thickBot="1" x14ac:dyDescent="0.3">
      <c r="B304" s="371" t="s">
        <v>362</v>
      </c>
      <c r="C304" s="389">
        <v>221.72</v>
      </c>
      <c r="D304" s="389">
        <v>1.2</v>
      </c>
      <c r="E304" s="389">
        <v>0.15</v>
      </c>
      <c r="F304" s="390">
        <v>1</v>
      </c>
      <c r="G304" s="390">
        <f t="shared" ref="G304:G318" si="27">F304*E304*D304*C304</f>
        <v>39.909599999999998</v>
      </c>
      <c r="H304" s="456">
        <f>C304*D304*F304</f>
        <v>266.06399999999996</v>
      </c>
      <c r="I304" s="457"/>
      <c r="J304" s="393"/>
      <c r="K304" s="393"/>
    </row>
    <row r="305" spans="2:11" ht="13.8" thickBot="1" x14ac:dyDescent="0.3">
      <c r="B305" s="427"/>
      <c r="C305" s="389">
        <v>15.385</v>
      </c>
      <c r="D305" s="389">
        <v>1.2</v>
      </c>
      <c r="E305" s="389">
        <v>0.15</v>
      </c>
      <c r="F305" s="390">
        <v>1</v>
      </c>
      <c r="G305" s="390">
        <f t="shared" si="27"/>
        <v>2.7692999999999999</v>
      </c>
      <c r="H305" s="456">
        <f t="shared" ref="H305:H309" si="28">C305*D305*F305</f>
        <v>18.462</v>
      </c>
      <c r="I305" s="457"/>
      <c r="J305" s="393"/>
      <c r="K305" s="393"/>
    </row>
    <row r="306" spans="2:11" ht="13.8" thickBot="1" x14ac:dyDescent="0.3">
      <c r="B306" s="427"/>
      <c r="C306" s="389">
        <v>0.4</v>
      </c>
      <c r="D306" s="389">
        <v>1.8</v>
      </c>
      <c r="E306" s="389">
        <v>0.15</v>
      </c>
      <c r="F306" s="390">
        <v>1</v>
      </c>
      <c r="G306" s="390">
        <f t="shared" si="27"/>
        <v>0.10800000000000001</v>
      </c>
      <c r="H306" s="456">
        <f t="shared" si="28"/>
        <v>0.72000000000000008</v>
      </c>
      <c r="I306" s="457"/>
      <c r="J306" s="393"/>
      <c r="K306" s="393"/>
    </row>
    <row r="307" spans="2:11" ht="13.8" thickBot="1" x14ac:dyDescent="0.3">
      <c r="B307" s="427"/>
      <c r="C307" s="389"/>
      <c r="D307" s="389"/>
      <c r="E307" s="389"/>
      <c r="F307" s="390"/>
      <c r="G307" s="390"/>
      <c r="H307" s="456"/>
      <c r="I307" s="457"/>
      <c r="J307" s="391"/>
      <c r="K307" s="393"/>
    </row>
    <row r="308" spans="2:11" ht="13.8" thickBot="1" x14ac:dyDescent="0.3">
      <c r="B308" s="371" t="s">
        <v>363</v>
      </c>
      <c r="C308" s="389">
        <v>16.625</v>
      </c>
      <c r="D308" s="389">
        <v>1.2</v>
      </c>
      <c r="E308" s="389">
        <v>0.15</v>
      </c>
      <c r="F308" s="390">
        <v>1</v>
      </c>
      <c r="G308" s="390">
        <f t="shared" si="27"/>
        <v>2.9924999999999997</v>
      </c>
      <c r="H308" s="456">
        <f t="shared" si="28"/>
        <v>19.95</v>
      </c>
      <c r="I308" s="457"/>
      <c r="J308" s="391"/>
      <c r="K308" s="393"/>
    </row>
    <row r="309" spans="2:11" ht="13.8" thickBot="1" x14ac:dyDescent="0.3">
      <c r="B309" s="427"/>
      <c r="C309" s="389">
        <v>19.425000000000001</v>
      </c>
      <c r="D309" s="389">
        <v>1.2</v>
      </c>
      <c r="E309" s="389">
        <v>0.15</v>
      </c>
      <c r="F309" s="390">
        <v>1</v>
      </c>
      <c r="G309" s="390">
        <f t="shared" si="27"/>
        <v>3.4965000000000002</v>
      </c>
      <c r="H309" s="456">
        <f t="shared" si="28"/>
        <v>23.31</v>
      </c>
      <c r="I309" s="457"/>
      <c r="J309" s="391"/>
      <c r="K309" s="393"/>
    </row>
    <row r="310" spans="2:11" ht="13.8" thickBot="1" x14ac:dyDescent="0.3">
      <c r="B310" s="427"/>
      <c r="C310" s="389"/>
      <c r="D310" s="389"/>
      <c r="E310" s="389"/>
      <c r="F310" s="390"/>
      <c r="G310" s="390"/>
      <c r="H310" s="456"/>
      <c r="I310" s="457"/>
      <c r="J310" s="391"/>
      <c r="K310" s="393"/>
    </row>
    <row r="311" spans="2:11" ht="13.8" thickBot="1" x14ac:dyDescent="0.3">
      <c r="B311" s="298" t="s">
        <v>364</v>
      </c>
      <c r="C311" s="389">
        <v>2.1</v>
      </c>
      <c r="D311" s="389">
        <v>1.35</v>
      </c>
      <c r="E311" s="389">
        <v>0.15</v>
      </c>
      <c r="F311" s="390">
        <v>1</v>
      </c>
      <c r="G311" s="390">
        <f t="shared" si="27"/>
        <v>0.42525000000000007</v>
      </c>
      <c r="H311" s="335">
        <f t="shared" ref="H311:H318" si="29">(D311+D311+E311)*C311*F311</f>
        <v>5.9850000000000003</v>
      </c>
      <c r="I311" s="457"/>
      <c r="J311" s="393"/>
      <c r="K311" s="393"/>
    </row>
    <row r="312" spans="2:11" ht="13.8" thickBot="1" x14ac:dyDescent="0.3">
      <c r="B312" s="298"/>
      <c r="C312" s="386">
        <v>1</v>
      </c>
      <c r="D312" s="386">
        <v>1.35</v>
      </c>
      <c r="E312" s="386">
        <v>0.15</v>
      </c>
      <c r="F312" s="434">
        <v>2</v>
      </c>
      <c r="G312" s="390">
        <f t="shared" si="27"/>
        <v>0.40500000000000003</v>
      </c>
      <c r="H312" s="335">
        <f t="shared" si="29"/>
        <v>5.7</v>
      </c>
      <c r="I312" s="304"/>
      <c r="J312" s="183"/>
      <c r="K312" s="183"/>
    </row>
    <row r="313" spans="2:11" ht="13.8" thickBot="1" x14ac:dyDescent="0.3">
      <c r="B313" s="427"/>
      <c r="C313" s="386">
        <v>19.045000000000002</v>
      </c>
      <c r="D313" s="386">
        <v>1.1000000000000001</v>
      </c>
      <c r="E313" s="386">
        <v>0.19</v>
      </c>
      <c r="F313" s="434">
        <v>1</v>
      </c>
      <c r="G313" s="390">
        <f t="shared" si="27"/>
        <v>3.9804050000000006</v>
      </c>
      <c r="H313" s="335">
        <f t="shared" si="29"/>
        <v>45.517550000000007</v>
      </c>
      <c r="I313" s="304"/>
      <c r="J313" s="183"/>
      <c r="K313" s="183"/>
    </row>
    <row r="314" spans="2:11" ht="13.8" thickBot="1" x14ac:dyDescent="0.3">
      <c r="B314" s="427"/>
      <c r="C314" s="386">
        <v>20.625</v>
      </c>
      <c r="D314" s="386">
        <v>1.1000000000000001</v>
      </c>
      <c r="E314" s="386">
        <v>0.19</v>
      </c>
      <c r="F314" s="434">
        <v>1</v>
      </c>
      <c r="G314" s="390">
        <f t="shared" si="27"/>
        <v>4.3106250000000008</v>
      </c>
      <c r="H314" s="335">
        <f t="shared" si="29"/>
        <v>49.293750000000003</v>
      </c>
      <c r="I314" s="304"/>
      <c r="J314" s="183"/>
      <c r="K314" s="183"/>
    </row>
    <row r="315" spans="2:11" ht="13.8" thickBot="1" x14ac:dyDescent="0.3">
      <c r="B315" s="427"/>
      <c r="C315" s="386">
        <v>16.625</v>
      </c>
      <c r="D315" s="386">
        <v>1.1000000000000001</v>
      </c>
      <c r="E315" s="386">
        <v>0.19</v>
      </c>
      <c r="F315" s="434">
        <v>1</v>
      </c>
      <c r="G315" s="390">
        <f t="shared" si="27"/>
        <v>3.4746250000000005</v>
      </c>
      <c r="H315" s="335">
        <f t="shared" si="29"/>
        <v>39.733750000000001</v>
      </c>
      <c r="I315" s="304"/>
      <c r="J315" s="183"/>
      <c r="K315" s="183"/>
    </row>
    <row r="316" spans="2:11" ht="13.8" thickBot="1" x14ac:dyDescent="0.3">
      <c r="B316" s="427"/>
      <c r="C316" s="386">
        <v>15.273999999999999</v>
      </c>
      <c r="D316" s="386">
        <v>1.1000000000000001</v>
      </c>
      <c r="E316" s="386">
        <v>0.19</v>
      </c>
      <c r="F316" s="434">
        <v>1</v>
      </c>
      <c r="G316" s="390">
        <f t="shared" si="27"/>
        <v>3.192266</v>
      </c>
      <c r="H316" s="335">
        <f t="shared" si="29"/>
        <v>36.504860000000001</v>
      </c>
      <c r="I316" s="304"/>
      <c r="J316" s="183"/>
      <c r="K316" s="183"/>
    </row>
    <row r="317" spans="2:11" ht="13.8" thickBot="1" x14ac:dyDescent="0.3">
      <c r="B317" s="427"/>
      <c r="C317" s="386">
        <v>0.4</v>
      </c>
      <c r="D317" s="386">
        <v>1.35</v>
      </c>
      <c r="E317" s="386">
        <v>0.15</v>
      </c>
      <c r="F317" s="434">
        <v>2</v>
      </c>
      <c r="G317" s="434">
        <f t="shared" si="27"/>
        <v>0.16200000000000003</v>
      </c>
      <c r="H317" s="335">
        <f t="shared" si="29"/>
        <v>2.2800000000000002</v>
      </c>
      <c r="I317" s="304"/>
      <c r="J317" s="183"/>
      <c r="K317" s="183"/>
    </row>
    <row r="318" spans="2:11" ht="13.8" thickBot="1" x14ac:dyDescent="0.3">
      <c r="B318" s="347"/>
      <c r="C318" s="386">
        <v>2.1</v>
      </c>
      <c r="D318" s="386">
        <v>1.35</v>
      </c>
      <c r="E318" s="386">
        <v>0.15</v>
      </c>
      <c r="F318" s="434">
        <v>1</v>
      </c>
      <c r="G318" s="387">
        <f t="shared" si="27"/>
        <v>0.42525000000000007</v>
      </c>
      <c r="H318" s="335">
        <f t="shared" si="29"/>
        <v>5.9850000000000003</v>
      </c>
      <c r="I318" s="304"/>
      <c r="J318" s="183"/>
      <c r="K318" s="183"/>
    </row>
    <row r="319" spans="2:11" ht="13.8" thickBot="1" x14ac:dyDescent="0.3">
      <c r="B319" s="463" t="s">
        <v>366</v>
      </c>
      <c r="C319" s="464"/>
      <c r="D319" s="464"/>
      <c r="E319" s="464"/>
      <c r="F319" s="465"/>
      <c r="G319" s="466">
        <f>SUM(G287:G318)</f>
        <v>90.592031000000034</v>
      </c>
      <c r="H319" s="467"/>
      <c r="I319" s="467"/>
      <c r="J319" s="468" t="s">
        <v>29</v>
      </c>
      <c r="K319" s="468"/>
    </row>
    <row r="320" spans="2:11" ht="13.8" thickBot="1" x14ac:dyDescent="0.3">
      <c r="B320" s="427"/>
      <c r="C320" s="414"/>
      <c r="D320" s="414"/>
      <c r="E320" s="414"/>
      <c r="F320" s="432"/>
      <c r="G320" s="441"/>
      <c r="H320" s="311"/>
      <c r="I320" s="311"/>
      <c r="J320" s="442"/>
      <c r="K320" s="442"/>
    </row>
    <row r="321" spans="2:11" ht="13.8" thickBot="1" x14ac:dyDescent="0.3">
      <c r="B321" s="463" t="s">
        <v>367</v>
      </c>
      <c r="C321" s="464"/>
      <c r="D321" s="464"/>
      <c r="E321" s="464"/>
      <c r="F321" s="465"/>
      <c r="G321" s="466"/>
      <c r="H321" s="468">
        <f>SUM(H287:H318)</f>
        <v>744.80801000000008</v>
      </c>
      <c r="I321" s="467"/>
      <c r="J321" s="468" t="s">
        <v>3</v>
      </c>
      <c r="K321" s="468"/>
    </row>
    <row r="322" spans="2:11" ht="13.8" thickBot="1" x14ac:dyDescent="0.3">
      <c r="B322" s="427"/>
      <c r="C322" s="414"/>
      <c r="D322" s="414"/>
      <c r="E322" s="414"/>
      <c r="F322" s="432"/>
      <c r="G322" s="441"/>
      <c r="H322" s="311"/>
      <c r="I322" s="311"/>
      <c r="J322" s="442"/>
      <c r="K322" s="442"/>
    </row>
    <row r="323" spans="2:11" ht="13.8" thickBot="1" x14ac:dyDescent="0.3">
      <c r="B323" s="371" t="s">
        <v>368</v>
      </c>
      <c r="C323" s="458"/>
      <c r="D323" s="458"/>
      <c r="E323" s="458"/>
      <c r="F323" s="435"/>
      <c r="G323" s="435"/>
      <c r="H323" s="183"/>
      <c r="I323" s="183">
        <v>395</v>
      </c>
      <c r="J323" s="183" t="s">
        <v>108</v>
      </c>
      <c r="K323" s="388"/>
    </row>
    <row r="324" spans="2:11" ht="13.8" thickBot="1" x14ac:dyDescent="0.3">
      <c r="B324" s="347" t="s">
        <v>370</v>
      </c>
      <c r="C324" s="450"/>
      <c r="D324" s="450"/>
      <c r="E324" s="450"/>
      <c r="F324" s="451"/>
      <c r="G324" s="460"/>
      <c r="H324" s="452"/>
      <c r="I324" s="439">
        <f>739+655.1</f>
        <v>1394.1</v>
      </c>
      <c r="J324" s="183" t="s">
        <v>108</v>
      </c>
      <c r="K324" s="439"/>
    </row>
    <row r="325" spans="2:11" ht="13.8" thickBot="1" x14ac:dyDescent="0.3">
      <c r="B325" s="347" t="s">
        <v>371</v>
      </c>
      <c r="C325" s="386"/>
      <c r="D325" s="386"/>
      <c r="E325" s="386"/>
      <c r="F325" s="434"/>
      <c r="G325" s="435"/>
      <c r="H325" s="306"/>
      <c r="I325" s="183">
        <v>1240</v>
      </c>
      <c r="J325" s="183" t="s">
        <v>108</v>
      </c>
      <c r="K325" s="183"/>
    </row>
    <row r="326" spans="2:11" ht="13.8" thickBot="1" x14ac:dyDescent="0.3">
      <c r="B326" s="427"/>
      <c r="C326" s="414"/>
      <c r="D326" s="414"/>
      <c r="E326" s="414"/>
      <c r="F326" s="432"/>
      <c r="G326" s="432"/>
      <c r="H326" s="311"/>
      <c r="I326" s="311"/>
      <c r="J326" s="311"/>
      <c r="K326" s="311"/>
    </row>
    <row r="327" spans="2:11" ht="13.8" thickBot="1" x14ac:dyDescent="0.3">
      <c r="B327" s="371" t="s">
        <v>372</v>
      </c>
      <c r="C327" s="386">
        <v>17.38</v>
      </c>
      <c r="D327" s="386">
        <v>2.1800000000000002</v>
      </c>
      <c r="E327" s="386">
        <v>1.1000000000000001</v>
      </c>
      <c r="F327" s="434">
        <v>1</v>
      </c>
      <c r="G327" s="387">
        <f t="shared" ref="G327:G335" si="30">F327*E327*D327*C327</f>
        <v>41.677240000000005</v>
      </c>
      <c r="H327" s="306"/>
      <c r="I327" s="306"/>
      <c r="J327" s="306"/>
      <c r="K327" s="306"/>
    </row>
    <row r="328" spans="2:11" ht="13.8" thickBot="1" x14ac:dyDescent="0.3">
      <c r="B328" s="427"/>
      <c r="C328" s="414">
        <v>2.4</v>
      </c>
      <c r="D328" s="414">
        <v>1.1499999999999999</v>
      </c>
      <c r="E328" s="414">
        <v>1.35</v>
      </c>
      <c r="F328" s="432">
        <v>1</v>
      </c>
      <c r="G328" s="387">
        <f t="shared" si="30"/>
        <v>3.726</v>
      </c>
      <c r="H328" s="311"/>
      <c r="I328" s="311"/>
      <c r="J328" s="311"/>
      <c r="K328" s="311"/>
    </row>
    <row r="329" spans="2:11" ht="13.8" thickBot="1" x14ac:dyDescent="0.3">
      <c r="B329" s="371"/>
      <c r="C329" s="385">
        <v>6.46</v>
      </c>
      <c r="D329" s="385">
        <v>2.1800000000000002</v>
      </c>
      <c r="E329" s="385">
        <v>1.1000000000000001</v>
      </c>
      <c r="F329" s="387">
        <v>1</v>
      </c>
      <c r="G329" s="387">
        <f t="shared" si="30"/>
        <v>15.491080000000004</v>
      </c>
      <c r="H329" s="183"/>
      <c r="I329" s="183"/>
      <c r="J329" s="183"/>
      <c r="K329" s="388"/>
    </row>
    <row r="330" spans="2:11" ht="13.8" thickBot="1" x14ac:dyDescent="0.3">
      <c r="B330" s="347"/>
      <c r="C330" s="461">
        <v>2.2999999999999998</v>
      </c>
      <c r="D330" s="461">
        <v>0.9</v>
      </c>
      <c r="E330" s="461">
        <v>1.35</v>
      </c>
      <c r="F330" s="462">
        <v>1</v>
      </c>
      <c r="G330" s="387">
        <f t="shared" si="30"/>
        <v>2.7944999999999998</v>
      </c>
      <c r="H330" s="438"/>
      <c r="I330" s="439"/>
      <c r="J330" s="439"/>
      <c r="K330" s="440"/>
    </row>
    <row r="331" spans="2:11" ht="13.8" thickBot="1" x14ac:dyDescent="0.3">
      <c r="B331" s="371"/>
      <c r="C331" s="385"/>
      <c r="D331" s="385"/>
      <c r="E331" s="385"/>
      <c r="F331" s="387"/>
      <c r="G331" s="387"/>
      <c r="H331" s="306"/>
      <c r="I331" s="306"/>
      <c r="J331" s="306"/>
      <c r="K331" s="306"/>
    </row>
    <row r="332" spans="2:11" ht="13.8" thickBot="1" x14ac:dyDescent="0.3">
      <c r="B332" s="427" t="s">
        <v>373</v>
      </c>
      <c r="C332" s="424">
        <v>1.5</v>
      </c>
      <c r="D332" s="424">
        <v>1.25</v>
      </c>
      <c r="E332" s="424">
        <v>1.35</v>
      </c>
      <c r="F332" s="425">
        <v>1</v>
      </c>
      <c r="G332" s="387">
        <f t="shared" si="30"/>
        <v>2.53125</v>
      </c>
      <c r="H332" s="311"/>
      <c r="I332" s="311"/>
      <c r="J332" s="311"/>
      <c r="K332" s="311"/>
    </row>
    <row r="333" spans="2:11" ht="13.8" thickBot="1" x14ac:dyDescent="0.3">
      <c r="B333" s="371"/>
      <c r="C333" s="385">
        <v>20.815000000000001</v>
      </c>
      <c r="D333" s="385">
        <v>1.58</v>
      </c>
      <c r="E333" s="385">
        <v>1.1000000000000001</v>
      </c>
      <c r="F333" s="387">
        <v>1</v>
      </c>
      <c r="G333" s="387">
        <f t="shared" si="30"/>
        <v>36.176470000000009</v>
      </c>
      <c r="H333" s="306"/>
      <c r="I333" s="306"/>
      <c r="J333" s="306"/>
      <c r="K333" s="306"/>
    </row>
    <row r="334" spans="2:11" ht="13.8" thickBot="1" x14ac:dyDescent="0.3">
      <c r="B334" s="427"/>
      <c r="C334" s="424">
        <v>14.895</v>
      </c>
      <c r="D334" s="424">
        <v>1.58</v>
      </c>
      <c r="E334" s="424">
        <v>1.1000000000000001</v>
      </c>
      <c r="F334" s="425">
        <v>1</v>
      </c>
      <c r="G334" s="387">
        <f t="shared" si="30"/>
        <v>25.887510000000002</v>
      </c>
      <c r="H334" s="311"/>
      <c r="I334" s="311"/>
      <c r="J334" s="311"/>
      <c r="K334" s="311"/>
    </row>
    <row r="335" spans="2:11" ht="13.8" thickBot="1" x14ac:dyDescent="0.3">
      <c r="B335" s="371"/>
      <c r="C335" s="385">
        <v>2.1</v>
      </c>
      <c r="D335" s="385">
        <v>0.7</v>
      </c>
      <c r="E335" s="385">
        <v>1.35</v>
      </c>
      <c r="F335" s="387">
        <v>1</v>
      </c>
      <c r="G335" s="387">
        <f t="shared" si="30"/>
        <v>1.9844999999999999</v>
      </c>
      <c r="H335" s="306"/>
      <c r="I335" s="306"/>
      <c r="J335" s="306"/>
      <c r="K335" s="306"/>
    </row>
    <row r="336" spans="2:11" ht="13.8" thickBot="1" x14ac:dyDescent="0.3">
      <c r="B336" s="371"/>
      <c r="C336" s="385"/>
      <c r="D336" s="385"/>
      <c r="E336" s="385"/>
      <c r="F336" s="387"/>
      <c r="G336" s="387"/>
      <c r="H336" s="183"/>
      <c r="I336" s="183"/>
      <c r="J336" s="183"/>
      <c r="K336" s="388"/>
    </row>
    <row r="337" spans="1:11" ht="13.8" thickBot="1" x14ac:dyDescent="0.3">
      <c r="B337" s="469" t="s">
        <v>374</v>
      </c>
      <c r="C337" s="470"/>
      <c r="D337" s="470"/>
      <c r="E337" s="470"/>
      <c r="F337" s="471"/>
      <c r="G337" s="466">
        <f>SUM(G327:G335)</f>
        <v>130.26855</v>
      </c>
      <c r="H337" s="472"/>
      <c r="I337" s="472"/>
      <c r="J337" s="472" t="s">
        <v>29</v>
      </c>
      <c r="K337" s="473"/>
    </row>
    <row r="338" spans="1:11" ht="13.8" thickBot="1" x14ac:dyDescent="0.3">
      <c r="B338" s="347"/>
      <c r="C338" s="461"/>
      <c r="D338" s="461"/>
      <c r="E338" s="461"/>
      <c r="F338" s="462"/>
      <c r="G338" s="387"/>
      <c r="H338" s="439"/>
      <c r="I338" s="439"/>
      <c r="J338" s="439"/>
      <c r="K338" s="440"/>
    </row>
    <row r="339" spans="1:11" ht="13.8" thickBot="1" x14ac:dyDescent="0.3">
      <c r="B339" s="469" t="s">
        <v>375</v>
      </c>
      <c r="C339" s="470"/>
      <c r="D339" s="470"/>
      <c r="E339" s="470"/>
      <c r="F339" s="471"/>
      <c r="G339" s="466">
        <f>G284-G337</f>
        <v>134.33307000000002</v>
      </c>
      <c r="H339" s="472"/>
      <c r="I339" s="472"/>
      <c r="J339" s="472" t="s">
        <v>29</v>
      </c>
      <c r="K339" s="473"/>
    </row>
    <row r="340" spans="1:11" ht="13.8" thickBot="1" x14ac:dyDescent="0.3">
      <c r="B340" s="347"/>
      <c r="C340" s="461"/>
      <c r="D340" s="461"/>
      <c r="E340" s="461"/>
      <c r="F340" s="462"/>
      <c r="G340" s="387"/>
      <c r="H340" s="439"/>
      <c r="I340" s="439"/>
      <c r="J340" s="439"/>
      <c r="K340" s="440"/>
    </row>
    <row r="341" spans="1:11" ht="13.8" thickBot="1" x14ac:dyDescent="0.3">
      <c r="B341" s="469" t="s">
        <v>376</v>
      </c>
      <c r="C341" s="470"/>
      <c r="D341" s="470"/>
      <c r="E341" s="470"/>
      <c r="F341" s="471"/>
      <c r="G341" s="466">
        <f>G337</f>
        <v>130.26855</v>
      </c>
      <c r="H341" s="474"/>
      <c r="I341" s="472"/>
      <c r="J341" s="472"/>
      <c r="K341" s="473"/>
    </row>
    <row r="342" spans="1:11" ht="13.8" thickBot="1" x14ac:dyDescent="0.3">
      <c r="B342" s="480"/>
      <c r="C342" s="245"/>
      <c r="D342" s="245"/>
      <c r="E342" s="245"/>
      <c r="F342" s="245"/>
      <c r="G342" s="245"/>
      <c r="H342" s="245"/>
      <c r="I342" s="245"/>
      <c r="J342" s="245"/>
      <c r="K342" s="246"/>
    </row>
    <row r="343" spans="1:11" ht="13.8" thickBot="1" x14ac:dyDescent="0.3">
      <c r="B343" s="480"/>
      <c r="C343" s="245"/>
      <c r="D343" s="245"/>
      <c r="E343" s="245"/>
      <c r="F343" s="245"/>
      <c r="G343" s="245"/>
      <c r="H343" s="245"/>
      <c r="I343" s="245"/>
      <c r="J343" s="245"/>
      <c r="K343" s="246"/>
    </row>
    <row r="344" spans="1:11" ht="13.8" thickBot="1" x14ac:dyDescent="0.3">
      <c r="B344" s="480"/>
      <c r="C344" s="245"/>
      <c r="D344" s="245"/>
      <c r="E344" s="245"/>
      <c r="F344" s="245"/>
      <c r="G344" s="245"/>
      <c r="H344" s="245"/>
      <c r="I344" s="245"/>
      <c r="J344" s="245"/>
      <c r="K344" s="246"/>
    </row>
    <row r="346" spans="1:11" x14ac:dyDescent="0.25">
      <c r="A346" s="22" t="s">
        <v>377</v>
      </c>
      <c r="B346" s="22" t="s">
        <v>378</v>
      </c>
    </row>
    <row r="347" spans="1:11" ht="13.8" thickBot="1" x14ac:dyDescent="0.3">
      <c r="B347" s="14" t="s">
        <v>393</v>
      </c>
    </row>
    <row r="348" spans="1:11" ht="13.8" thickBot="1" x14ac:dyDescent="0.3">
      <c r="B348" s="491" t="s">
        <v>379</v>
      </c>
      <c r="C348" s="491" t="s">
        <v>380</v>
      </c>
      <c r="D348" s="491" t="s">
        <v>381</v>
      </c>
      <c r="E348" s="491" t="s">
        <v>2</v>
      </c>
      <c r="F348" s="491" t="s">
        <v>382</v>
      </c>
      <c r="G348" s="491" t="s">
        <v>7</v>
      </c>
    </row>
    <row r="349" spans="1:11" x14ac:dyDescent="0.25">
      <c r="B349" s="380" t="s">
        <v>383</v>
      </c>
      <c r="C349" s="482">
        <v>23.61</v>
      </c>
      <c r="D349" s="483">
        <v>20.399999999999999</v>
      </c>
      <c r="E349" s="482">
        <v>3.59</v>
      </c>
      <c r="F349" s="483">
        <f>E349*D349</f>
        <v>73.23599999999999</v>
      </c>
      <c r="G349" s="488"/>
    </row>
    <row r="350" spans="1:11" x14ac:dyDescent="0.25">
      <c r="B350" s="381" t="s">
        <v>384</v>
      </c>
      <c r="C350" s="482">
        <v>27.76</v>
      </c>
      <c r="D350" s="484">
        <v>22</v>
      </c>
      <c r="E350" s="482">
        <v>3.59</v>
      </c>
      <c r="F350" s="484">
        <f t="shared" ref="F350:F357" si="31">E350*D350</f>
        <v>78.97999999999999</v>
      </c>
      <c r="G350" s="487"/>
    </row>
    <row r="351" spans="1:11" x14ac:dyDescent="0.25">
      <c r="B351" s="381" t="s">
        <v>385</v>
      </c>
      <c r="C351" s="482">
        <v>30.52</v>
      </c>
      <c r="D351" s="484">
        <v>22.7</v>
      </c>
      <c r="E351" s="482">
        <v>3.59</v>
      </c>
      <c r="F351" s="484">
        <f t="shared" si="31"/>
        <v>81.492999999999995</v>
      </c>
      <c r="G351" s="487"/>
    </row>
    <row r="352" spans="1:11" x14ac:dyDescent="0.25">
      <c r="B352" s="381" t="s">
        <v>386</v>
      </c>
      <c r="C352" s="482">
        <v>60.02</v>
      </c>
      <c r="D352" s="484">
        <v>30.86</v>
      </c>
      <c r="E352" s="482">
        <v>3.59</v>
      </c>
      <c r="F352" s="484">
        <f t="shared" si="31"/>
        <v>110.78739999999999</v>
      </c>
      <c r="G352" s="487"/>
    </row>
    <row r="353" spans="1:11" x14ac:dyDescent="0.25">
      <c r="B353" s="381" t="s">
        <v>387</v>
      </c>
      <c r="C353" s="482">
        <v>56.83</v>
      </c>
      <c r="D353" s="484">
        <v>30.28</v>
      </c>
      <c r="E353" s="482">
        <v>3.59</v>
      </c>
      <c r="F353" s="484">
        <f t="shared" si="31"/>
        <v>108.7052</v>
      </c>
      <c r="G353" s="487"/>
    </row>
    <row r="354" spans="1:11" x14ac:dyDescent="0.25">
      <c r="B354" s="381" t="s">
        <v>388</v>
      </c>
      <c r="C354" s="482">
        <v>23.64</v>
      </c>
      <c r="D354" s="484">
        <v>19.8</v>
      </c>
      <c r="E354" s="482">
        <v>3.59</v>
      </c>
      <c r="F354" s="484">
        <f t="shared" si="31"/>
        <v>71.081999999999994</v>
      </c>
      <c r="G354" s="487"/>
    </row>
    <row r="355" spans="1:11" x14ac:dyDescent="0.25">
      <c r="B355" s="381" t="s">
        <v>389</v>
      </c>
      <c r="C355" s="482">
        <v>23.54</v>
      </c>
      <c r="D355" s="484">
        <v>19.8</v>
      </c>
      <c r="E355" s="482">
        <v>3.59</v>
      </c>
      <c r="F355" s="484">
        <f t="shared" si="31"/>
        <v>71.081999999999994</v>
      </c>
      <c r="G355" s="487"/>
    </row>
    <row r="356" spans="1:11" x14ac:dyDescent="0.25">
      <c r="B356" s="381" t="s">
        <v>390</v>
      </c>
      <c r="C356" s="482">
        <v>34.93</v>
      </c>
      <c r="D356" s="484">
        <v>21.48</v>
      </c>
      <c r="E356" s="482">
        <v>3.59</v>
      </c>
      <c r="F356" s="484">
        <f t="shared" si="31"/>
        <v>77.113199999999992</v>
      </c>
      <c r="G356" s="487"/>
    </row>
    <row r="357" spans="1:11" ht="13.8" thickBot="1" x14ac:dyDescent="0.3">
      <c r="B357" s="381" t="s">
        <v>391</v>
      </c>
      <c r="C357" s="482">
        <v>32.22</v>
      </c>
      <c r="D357" s="484">
        <v>22.8</v>
      </c>
      <c r="E357" s="482">
        <v>3.59</v>
      </c>
      <c r="F357" s="484">
        <f t="shared" si="31"/>
        <v>81.852000000000004</v>
      </c>
      <c r="G357" s="487"/>
    </row>
    <row r="358" spans="1:11" ht="13.8" thickBot="1" x14ac:dyDescent="0.3">
      <c r="B358" s="480"/>
      <c r="C358" s="485"/>
      <c r="D358" s="485"/>
      <c r="E358" s="485"/>
      <c r="F358" s="485"/>
      <c r="G358" s="486"/>
    </row>
    <row r="359" spans="1:11" ht="13.8" thickBot="1" x14ac:dyDescent="0.3">
      <c r="B359" s="181" t="s">
        <v>392</v>
      </c>
      <c r="C359" s="489">
        <f>SUM(C349:C358)</f>
        <v>313.06999999999994</v>
      </c>
      <c r="D359" s="489"/>
      <c r="E359" s="489"/>
      <c r="F359" s="489">
        <f>SUM(F349:F358)</f>
        <v>754.33079999999995</v>
      </c>
      <c r="G359" s="490" t="s">
        <v>3</v>
      </c>
    </row>
    <row r="361" spans="1:11" x14ac:dyDescent="0.25">
      <c r="A361" s="22" t="s">
        <v>223</v>
      </c>
      <c r="B361" s="22" t="s">
        <v>394</v>
      </c>
      <c r="C361" s="22"/>
      <c r="D361" s="22"/>
      <c r="E361" s="22"/>
    </row>
    <row r="362" spans="1:11" ht="13.8" thickBot="1" x14ac:dyDescent="0.3"/>
    <row r="363" spans="1:11" ht="13.8" thickBot="1" x14ac:dyDescent="0.3">
      <c r="B363" s="394"/>
      <c r="C363" s="395" t="s">
        <v>398</v>
      </c>
      <c r="D363" s="396"/>
      <c r="E363" s="396"/>
      <c r="F363" s="397"/>
      <c r="G363" s="397"/>
      <c r="H363" s="398"/>
      <c r="I363" s="431"/>
      <c r="J363" s="398"/>
      <c r="K363" s="430"/>
    </row>
    <row r="364" spans="1:11" ht="13.8" thickBot="1" x14ac:dyDescent="0.3">
      <c r="B364" s="351"/>
      <c r="C364" s="385" t="s">
        <v>254</v>
      </c>
      <c r="D364" s="385" t="s">
        <v>267</v>
      </c>
      <c r="E364" s="385" t="s">
        <v>359</v>
      </c>
      <c r="F364" s="387" t="s">
        <v>6</v>
      </c>
      <c r="G364" s="387" t="s">
        <v>26</v>
      </c>
      <c r="H364" s="388" t="s">
        <v>343</v>
      </c>
      <c r="I364" s="388" t="s">
        <v>347</v>
      </c>
      <c r="J364" s="459" t="s">
        <v>7</v>
      </c>
      <c r="K364" s="459" t="s">
        <v>348</v>
      </c>
    </row>
    <row r="365" spans="1:11" ht="13.8" thickBot="1" x14ac:dyDescent="0.3">
      <c r="B365" s="380" t="s">
        <v>395</v>
      </c>
      <c r="C365" s="389">
        <v>0.4</v>
      </c>
      <c r="D365" s="389">
        <v>0.2</v>
      </c>
      <c r="E365" s="389">
        <v>5.15</v>
      </c>
      <c r="F365" s="390">
        <v>28</v>
      </c>
      <c r="G365" s="390">
        <f>F365*E365*D365*C365</f>
        <v>11.536000000000001</v>
      </c>
      <c r="H365" s="388">
        <f>(C365+C365+D365+D365)*E365*F365</f>
        <v>173.04000000000002</v>
      </c>
      <c r="I365" s="388"/>
      <c r="J365" s="388"/>
      <c r="K365" s="388"/>
    </row>
    <row r="366" spans="1:11" ht="13.8" thickBot="1" x14ac:dyDescent="0.3">
      <c r="B366" s="380"/>
      <c r="C366" s="389"/>
      <c r="D366" s="389"/>
      <c r="E366" s="389"/>
      <c r="F366" s="390"/>
      <c r="G366" s="390"/>
      <c r="H366" s="388"/>
      <c r="I366" s="388"/>
      <c r="J366" s="429"/>
      <c r="K366" s="429"/>
    </row>
    <row r="367" spans="1:11" ht="13.8" thickBot="1" x14ac:dyDescent="0.3">
      <c r="B367" s="463" t="s">
        <v>206</v>
      </c>
      <c r="C367" s="494"/>
      <c r="D367" s="494"/>
      <c r="E367" s="494"/>
      <c r="F367" s="477"/>
      <c r="G367" s="477">
        <f>SUM(G365:G366)</f>
        <v>11.536000000000001</v>
      </c>
      <c r="H367" s="468"/>
      <c r="I367" s="468"/>
      <c r="J367" s="479" t="s">
        <v>29</v>
      </c>
      <c r="K367" s="479"/>
    </row>
    <row r="368" spans="1:11" ht="13.8" thickBot="1" x14ac:dyDescent="0.3">
      <c r="B368" s="351"/>
      <c r="C368" s="386"/>
      <c r="D368" s="386"/>
      <c r="E368" s="386"/>
      <c r="F368" s="434"/>
      <c r="G368" s="390"/>
      <c r="H368" s="388"/>
      <c r="I368" s="388"/>
      <c r="J368" s="183"/>
      <c r="K368" s="306"/>
    </row>
    <row r="369" spans="1:11" ht="13.8" thickBot="1" x14ac:dyDescent="0.3">
      <c r="B369" s="463" t="s">
        <v>343</v>
      </c>
      <c r="C369" s="495"/>
      <c r="D369" s="495"/>
      <c r="E369" s="495"/>
      <c r="F369" s="466"/>
      <c r="G369" s="466"/>
      <c r="H369" s="468">
        <f>SUM(H365:H368)</f>
        <v>173.04000000000002</v>
      </c>
      <c r="I369" s="468"/>
      <c r="J369" s="468" t="s">
        <v>3</v>
      </c>
      <c r="K369" s="468"/>
    </row>
    <row r="370" spans="1:11" ht="13.8" thickBot="1" x14ac:dyDescent="0.3">
      <c r="B370" s="480"/>
      <c r="C370" s="245"/>
      <c r="D370" s="245"/>
      <c r="E370" s="245"/>
      <c r="F370" s="245"/>
      <c r="G370" s="245"/>
      <c r="H370" s="245"/>
      <c r="I370" s="245"/>
      <c r="J370" s="245"/>
      <c r="K370" s="246"/>
    </row>
    <row r="371" spans="1:11" ht="27" thickBot="1" x14ac:dyDescent="0.3">
      <c r="B371" s="496" t="s">
        <v>396</v>
      </c>
      <c r="C371" s="497">
        <v>57.8</v>
      </c>
      <c r="D371" s="497"/>
      <c r="E371" s="497">
        <v>4.75</v>
      </c>
      <c r="F371" s="466">
        <v>1</v>
      </c>
      <c r="G371" s="497"/>
      <c r="H371" s="497">
        <f>F371*E371*C371</f>
        <v>274.55</v>
      </c>
      <c r="I371" s="497"/>
      <c r="J371" s="497" t="s">
        <v>3</v>
      </c>
      <c r="K371" s="498"/>
    </row>
    <row r="372" spans="1:11" ht="13.8" thickBot="1" x14ac:dyDescent="0.3">
      <c r="B372" s="480"/>
      <c r="C372" s="245"/>
      <c r="D372" s="245"/>
      <c r="E372" s="245"/>
      <c r="F372" s="245"/>
      <c r="G372" s="245"/>
      <c r="H372" s="245"/>
      <c r="I372" s="245"/>
      <c r="J372" s="245"/>
      <c r="K372" s="246"/>
    </row>
    <row r="373" spans="1:11" ht="13.8" thickBot="1" x14ac:dyDescent="0.3">
      <c r="B373" s="221" t="s">
        <v>397</v>
      </c>
      <c r="C373" s="485">
        <v>57.8</v>
      </c>
      <c r="D373" s="485">
        <v>0.2</v>
      </c>
      <c r="E373" s="485">
        <v>0.19</v>
      </c>
      <c r="F373" s="434">
        <v>2</v>
      </c>
      <c r="G373" s="390">
        <f>F373*E373*D373*C373</f>
        <v>4.3928000000000003</v>
      </c>
      <c r="H373" s="388">
        <f>(C373+C373+D373+D373)*E373*F373</f>
        <v>44.08</v>
      </c>
      <c r="I373" s="245"/>
      <c r="J373" s="245"/>
      <c r="K373" s="246"/>
    </row>
    <row r="374" spans="1:11" ht="13.8" thickBot="1" x14ac:dyDescent="0.3">
      <c r="B374" s="463" t="s">
        <v>206</v>
      </c>
      <c r="C374" s="494"/>
      <c r="D374" s="494"/>
      <c r="E374" s="494"/>
      <c r="F374" s="477"/>
      <c r="G374" s="477">
        <f>SUM(G372:G373)</f>
        <v>4.3928000000000003</v>
      </c>
      <c r="H374" s="468"/>
      <c r="I374" s="468"/>
      <c r="J374" s="479" t="s">
        <v>29</v>
      </c>
      <c r="K374" s="479"/>
    </row>
    <row r="375" spans="1:11" ht="13.8" thickBot="1" x14ac:dyDescent="0.3">
      <c r="B375" s="351"/>
      <c r="C375" s="386"/>
      <c r="D375" s="386"/>
      <c r="E375" s="386"/>
      <c r="F375" s="434"/>
      <c r="G375" s="390"/>
      <c r="H375" s="388"/>
      <c r="I375" s="388"/>
      <c r="J375" s="183"/>
      <c r="K375" s="306"/>
    </row>
    <row r="376" spans="1:11" ht="13.8" thickBot="1" x14ac:dyDescent="0.3">
      <c r="B376" s="463" t="s">
        <v>343</v>
      </c>
      <c r="C376" s="495"/>
      <c r="D376" s="495"/>
      <c r="E376" s="495"/>
      <c r="F376" s="466"/>
      <c r="G376" s="466"/>
      <c r="H376" s="468">
        <f>SUM(H372:H375)</f>
        <v>44.08</v>
      </c>
      <c r="I376" s="468"/>
      <c r="J376" s="468" t="s">
        <v>3</v>
      </c>
      <c r="K376" s="468"/>
    </row>
    <row r="377" spans="1:11" ht="13.8" thickBot="1" x14ac:dyDescent="0.3">
      <c r="B377" s="480"/>
      <c r="C377" s="245"/>
      <c r="D377" s="245"/>
      <c r="E377" s="245"/>
      <c r="F377" s="245"/>
      <c r="G377" s="245"/>
      <c r="H377" s="245"/>
      <c r="I377" s="245"/>
      <c r="J377" s="245"/>
      <c r="K377" s="246"/>
    </row>
    <row r="378" spans="1:11" ht="13.8" thickBot="1" x14ac:dyDescent="0.3">
      <c r="B378" s="371" t="s">
        <v>368</v>
      </c>
      <c r="C378" s="458"/>
      <c r="D378" s="458"/>
      <c r="E378" s="458"/>
      <c r="F378" s="435"/>
      <c r="G378" s="435"/>
      <c r="H378" s="183"/>
      <c r="I378" s="183">
        <f>26.33+212.8</f>
        <v>239.13</v>
      </c>
      <c r="J378" s="183" t="s">
        <v>108</v>
      </c>
      <c r="K378" s="246"/>
    </row>
    <row r="379" spans="1:11" ht="13.8" thickBot="1" x14ac:dyDescent="0.3">
      <c r="B379" s="347" t="s">
        <v>371</v>
      </c>
      <c r="C379" s="450"/>
      <c r="D379" s="450"/>
      <c r="E379" s="450"/>
      <c r="F379" s="451"/>
      <c r="G379" s="460"/>
      <c r="H379" s="452"/>
      <c r="I379" s="439">
        <v>182.65</v>
      </c>
      <c r="J379" s="183" t="s">
        <v>108</v>
      </c>
      <c r="K379" s="246"/>
    </row>
    <row r="380" spans="1:11" ht="13.8" thickBot="1" x14ac:dyDescent="0.3">
      <c r="B380" s="347" t="s">
        <v>345</v>
      </c>
      <c r="C380" s="386"/>
      <c r="D380" s="386"/>
      <c r="E380" s="386"/>
      <c r="F380" s="434"/>
      <c r="G380" s="435"/>
      <c r="H380" s="306"/>
      <c r="I380" s="183">
        <v>566.24</v>
      </c>
      <c r="J380" s="183" t="s">
        <v>108</v>
      </c>
      <c r="K380" s="246"/>
    </row>
    <row r="381" spans="1:11" ht="13.8" thickBot="1" x14ac:dyDescent="0.3">
      <c r="B381" s="480"/>
      <c r="C381" s="245"/>
      <c r="D381" s="245"/>
      <c r="E381" s="245"/>
      <c r="F381" s="245"/>
      <c r="G381" s="245"/>
      <c r="H381" s="245"/>
      <c r="I381" s="245"/>
      <c r="J381" s="245"/>
      <c r="K381" s="246"/>
    </row>
    <row r="384" spans="1:11" x14ac:dyDescent="0.25">
      <c r="A384" s="22" t="s">
        <v>399</v>
      </c>
      <c r="B384" s="22" t="s">
        <v>400</v>
      </c>
      <c r="C384" s="22"/>
    </row>
    <row r="385" spans="2:12" ht="13.8" thickBot="1" x14ac:dyDescent="0.3"/>
    <row r="386" spans="2:12" ht="13.8" thickBot="1" x14ac:dyDescent="0.3">
      <c r="B386" s="394"/>
      <c r="C386" s="395" t="s">
        <v>401</v>
      </c>
      <c r="D386" s="396"/>
      <c r="E386" s="396"/>
      <c r="F386" s="397"/>
      <c r="G386" s="397"/>
      <c r="H386" s="398"/>
      <c r="I386" s="431"/>
      <c r="J386" s="398"/>
      <c r="K386" s="430"/>
      <c r="L386" s="430"/>
    </row>
    <row r="387" spans="2:12" ht="13.8" thickBot="1" x14ac:dyDescent="0.3">
      <c r="B387" s="351"/>
      <c r="C387" s="385" t="s">
        <v>254</v>
      </c>
      <c r="D387" s="385" t="s">
        <v>267</v>
      </c>
      <c r="E387" s="385" t="s">
        <v>359</v>
      </c>
      <c r="F387" s="387" t="s">
        <v>6</v>
      </c>
      <c r="G387" s="387" t="s">
        <v>26</v>
      </c>
      <c r="H387" s="388" t="s">
        <v>343</v>
      </c>
      <c r="I387" s="388" t="s">
        <v>347</v>
      </c>
      <c r="J387" s="459" t="s">
        <v>7</v>
      </c>
      <c r="K387" s="459" t="s">
        <v>410</v>
      </c>
      <c r="L387" s="459" t="s">
        <v>411</v>
      </c>
    </row>
    <row r="388" spans="2:12" ht="13.8" thickBot="1" x14ac:dyDescent="0.3">
      <c r="B388" s="380" t="s">
        <v>402</v>
      </c>
      <c r="C388" s="389">
        <v>21.52</v>
      </c>
      <c r="D388" s="389">
        <v>8.0500000000000007</v>
      </c>
      <c r="E388" s="389">
        <v>3.3</v>
      </c>
      <c r="F388" s="390">
        <v>1</v>
      </c>
      <c r="G388" s="428">
        <f>F388*E388*D388*C388</f>
        <v>571.67880000000002</v>
      </c>
      <c r="H388" s="183"/>
      <c r="I388" s="183"/>
      <c r="J388" s="183" t="s">
        <v>29</v>
      </c>
      <c r="K388" s="388"/>
      <c r="L388" s="388"/>
    </row>
    <row r="389" spans="2:12" ht="13.8" thickBot="1" x14ac:dyDescent="0.3">
      <c r="B389" s="380"/>
      <c r="C389" s="389"/>
      <c r="D389" s="389"/>
      <c r="E389" s="389"/>
      <c r="F389" s="390"/>
      <c r="G389" s="390"/>
      <c r="H389" s="388"/>
      <c r="I389" s="388"/>
      <c r="J389" s="429"/>
      <c r="K389" s="429"/>
      <c r="L389" s="429"/>
    </row>
    <row r="390" spans="2:12" ht="27" thickBot="1" x14ac:dyDescent="0.3">
      <c r="B390" s="499" t="s">
        <v>403</v>
      </c>
      <c r="C390" s="389">
        <f>104*4.5</f>
        <v>468</v>
      </c>
      <c r="D390" s="389"/>
      <c r="E390" s="389"/>
      <c r="F390" s="390">
        <v>1</v>
      </c>
      <c r="G390" s="390"/>
      <c r="H390" s="388"/>
      <c r="I390" s="388"/>
      <c r="J390" s="393" t="s">
        <v>46</v>
      </c>
      <c r="K390" s="391"/>
      <c r="L390" s="391"/>
    </row>
    <row r="391" spans="2:12" ht="13.8" thickBot="1" x14ac:dyDescent="0.3">
      <c r="B391" s="427"/>
      <c r="C391" s="389"/>
      <c r="D391" s="389"/>
      <c r="E391" s="389"/>
      <c r="F391" s="390"/>
      <c r="G391" s="390"/>
      <c r="H391" s="391"/>
      <c r="I391" s="391"/>
      <c r="J391" s="393"/>
      <c r="K391" s="393"/>
      <c r="L391" s="393"/>
    </row>
    <row r="392" spans="2:12" ht="13.8" thickBot="1" x14ac:dyDescent="0.3">
      <c r="B392" s="351" t="s">
        <v>404</v>
      </c>
      <c r="C392" s="389">
        <v>19.170000000000002</v>
      </c>
      <c r="D392" s="389">
        <v>6.65</v>
      </c>
      <c r="E392" s="389">
        <v>0.3</v>
      </c>
      <c r="F392" s="390">
        <v>1</v>
      </c>
      <c r="G392" s="390">
        <f t="shared" ref="G392:G394" si="32">F392*E392*D392*C392</f>
        <v>38.244150000000005</v>
      </c>
      <c r="H392" s="456">
        <f>C392*D392*F392</f>
        <v>127.48050000000002</v>
      </c>
      <c r="I392" s="457"/>
      <c r="J392" s="393"/>
      <c r="K392" s="393"/>
      <c r="L392" s="393"/>
    </row>
    <row r="393" spans="2:12" ht="13.8" thickBot="1" x14ac:dyDescent="0.3">
      <c r="B393" s="381"/>
      <c r="C393" s="389">
        <v>6.65</v>
      </c>
      <c r="D393" s="389">
        <v>1.5</v>
      </c>
      <c r="E393" s="389">
        <v>0.3</v>
      </c>
      <c r="F393" s="390">
        <v>1</v>
      </c>
      <c r="G393" s="390">
        <f t="shared" si="32"/>
        <v>2.9924999999999997</v>
      </c>
      <c r="H393" s="456">
        <f t="shared" ref="H393:H394" si="33">C393*D393*F393</f>
        <v>9.9750000000000014</v>
      </c>
      <c r="I393" s="457"/>
      <c r="J393" s="393"/>
      <c r="K393" s="393"/>
      <c r="L393" s="393"/>
    </row>
    <row r="394" spans="2:12" ht="13.8" thickBot="1" x14ac:dyDescent="0.3">
      <c r="B394" s="381" t="s">
        <v>405</v>
      </c>
      <c r="C394" s="389">
        <v>6.65</v>
      </c>
      <c r="D394" s="389">
        <v>0.6</v>
      </c>
      <c r="E394" s="389">
        <v>0.2</v>
      </c>
      <c r="F394" s="390">
        <v>8</v>
      </c>
      <c r="G394" s="390">
        <f t="shared" si="32"/>
        <v>6.3840000000000003</v>
      </c>
      <c r="H394" s="456">
        <f t="shared" si="33"/>
        <v>31.92</v>
      </c>
      <c r="I394" s="457"/>
      <c r="J394" s="393"/>
      <c r="K394" s="393"/>
      <c r="L394" s="393"/>
    </row>
    <row r="395" spans="2:12" ht="13.8" thickBot="1" x14ac:dyDescent="0.3">
      <c r="B395" s="381"/>
      <c r="C395" s="389"/>
      <c r="D395" s="389"/>
      <c r="E395" s="389"/>
      <c r="F395" s="390"/>
      <c r="G395" s="390"/>
      <c r="H395" s="456"/>
      <c r="I395" s="457"/>
      <c r="J395" s="391"/>
      <c r="K395" s="393"/>
      <c r="L395" s="393"/>
    </row>
    <row r="396" spans="2:12" ht="13.8" thickBot="1" x14ac:dyDescent="0.3">
      <c r="B396" s="351" t="s">
        <v>406</v>
      </c>
      <c r="C396" s="389">
        <v>7.4</v>
      </c>
      <c r="D396" s="389">
        <v>5.2</v>
      </c>
      <c r="E396" s="389">
        <v>0.2</v>
      </c>
      <c r="F396" s="390">
        <v>1</v>
      </c>
      <c r="G396" s="390">
        <f t="shared" ref="G396:G403" si="34">F396*E396*D396*C396</f>
        <v>7.6960000000000006</v>
      </c>
      <c r="H396" s="456">
        <f t="shared" ref="H396:H403" si="35">C396*D396*F396</f>
        <v>38.480000000000004</v>
      </c>
      <c r="I396" s="457"/>
      <c r="J396" s="391"/>
      <c r="K396" s="393"/>
      <c r="L396" s="393"/>
    </row>
    <row r="397" spans="2:12" ht="13.8" thickBot="1" x14ac:dyDescent="0.3">
      <c r="B397" s="381" t="s">
        <v>407</v>
      </c>
      <c r="C397" s="448">
        <v>7.4</v>
      </c>
      <c r="D397" s="386">
        <v>5.2</v>
      </c>
      <c r="E397" s="386">
        <v>0.2</v>
      </c>
      <c r="F397" s="434">
        <v>1</v>
      </c>
      <c r="G397" s="434">
        <f t="shared" si="34"/>
        <v>7.6960000000000006</v>
      </c>
      <c r="H397" s="303">
        <f t="shared" si="35"/>
        <v>38.480000000000004</v>
      </c>
      <c r="I397" s="304"/>
      <c r="J397" s="306"/>
      <c r="K397" s="183"/>
      <c r="L397" s="183"/>
    </row>
    <row r="398" spans="2:12" ht="13.8" thickBot="1" x14ac:dyDescent="0.3">
      <c r="B398" s="351" t="s">
        <v>361</v>
      </c>
      <c r="C398" s="448">
        <v>6.65</v>
      </c>
      <c r="D398" s="386">
        <v>1.7</v>
      </c>
      <c r="E398" s="386">
        <v>0.2</v>
      </c>
      <c r="F398" s="434">
        <v>1</v>
      </c>
      <c r="G398" s="434">
        <f t="shared" si="34"/>
        <v>2.2610000000000001</v>
      </c>
      <c r="H398" s="305">
        <f t="shared" si="35"/>
        <v>11.305</v>
      </c>
      <c r="I398" s="304"/>
      <c r="J398" s="306"/>
      <c r="K398" s="183">
        <f>0.6*0.5*0.2</f>
        <v>0.06</v>
      </c>
      <c r="L398" s="183">
        <f>0.6*0.6</f>
        <v>0.36</v>
      </c>
    </row>
    <row r="399" spans="2:12" ht="13.8" thickBot="1" x14ac:dyDescent="0.3">
      <c r="B399" s="381" t="s">
        <v>365</v>
      </c>
      <c r="C399" s="448">
        <v>7</v>
      </c>
      <c r="D399" s="386">
        <v>4.8</v>
      </c>
      <c r="E399" s="386">
        <v>0.2</v>
      </c>
      <c r="F399" s="434">
        <v>1</v>
      </c>
      <c r="G399" s="434">
        <f t="shared" si="34"/>
        <v>6.72</v>
      </c>
      <c r="H399" s="305">
        <f t="shared" si="35"/>
        <v>33.6</v>
      </c>
      <c r="I399" s="304"/>
      <c r="J399" s="306"/>
      <c r="K399" s="183">
        <f>0.6*0.5*0.2</f>
        <v>0.06</v>
      </c>
      <c r="L399" s="183">
        <f>0.6*0.6</f>
        <v>0.36</v>
      </c>
    </row>
    <row r="400" spans="2:12" ht="13.8" thickBot="1" x14ac:dyDescent="0.3">
      <c r="B400" s="351" t="s">
        <v>408</v>
      </c>
      <c r="C400" s="448">
        <v>6.65</v>
      </c>
      <c r="D400" s="386">
        <v>0.6</v>
      </c>
      <c r="E400" s="386">
        <v>0.2</v>
      </c>
      <c r="F400" s="434">
        <v>2</v>
      </c>
      <c r="G400" s="434">
        <f t="shared" si="34"/>
        <v>1.5960000000000001</v>
      </c>
      <c r="H400" s="305">
        <f t="shared" si="35"/>
        <v>7.98</v>
      </c>
      <c r="I400" s="304"/>
      <c r="J400" s="306"/>
      <c r="K400" s="183"/>
      <c r="L400" s="183"/>
    </row>
    <row r="401" spans="2:12" ht="13.8" thickBot="1" x14ac:dyDescent="0.3">
      <c r="B401" s="351"/>
      <c r="C401" s="448">
        <v>6.65</v>
      </c>
      <c r="D401" s="386">
        <v>3.17</v>
      </c>
      <c r="E401" s="386">
        <v>0.2</v>
      </c>
      <c r="F401" s="434">
        <v>1</v>
      </c>
      <c r="G401" s="434">
        <f t="shared" si="34"/>
        <v>4.2161</v>
      </c>
      <c r="H401" s="305">
        <f t="shared" si="35"/>
        <v>21.080500000000001</v>
      </c>
      <c r="I401" s="304"/>
      <c r="J401" s="306"/>
      <c r="K401" s="183"/>
      <c r="L401" s="183"/>
    </row>
    <row r="402" spans="2:12" ht="13.8" thickBot="1" x14ac:dyDescent="0.3">
      <c r="B402" s="427"/>
      <c r="C402" s="448">
        <v>0.8</v>
      </c>
      <c r="D402" s="386">
        <v>7.4</v>
      </c>
      <c r="E402" s="386">
        <v>0.2</v>
      </c>
      <c r="F402" s="434">
        <v>4</v>
      </c>
      <c r="G402" s="434">
        <f t="shared" si="34"/>
        <v>4.7360000000000007</v>
      </c>
      <c r="H402" s="305">
        <f t="shared" si="35"/>
        <v>23.680000000000003</v>
      </c>
      <c r="I402" s="304"/>
      <c r="J402" s="306"/>
      <c r="K402" s="183"/>
      <c r="L402" s="183"/>
    </row>
    <row r="403" spans="2:12" ht="13.8" thickBot="1" x14ac:dyDescent="0.3">
      <c r="B403" s="351" t="s">
        <v>409</v>
      </c>
      <c r="C403" s="448">
        <v>4.8</v>
      </c>
      <c r="D403" s="386">
        <v>7</v>
      </c>
      <c r="E403" s="386">
        <v>0.2</v>
      </c>
      <c r="F403" s="434">
        <v>1</v>
      </c>
      <c r="G403" s="434">
        <f t="shared" si="34"/>
        <v>6.7200000000000006</v>
      </c>
      <c r="H403" s="305">
        <f t="shared" si="35"/>
        <v>33.6</v>
      </c>
      <c r="I403" s="304"/>
      <c r="J403" s="306"/>
      <c r="K403" s="183">
        <f>0.6*0.5*0.2</f>
        <v>0.06</v>
      </c>
      <c r="L403" s="183">
        <f>0.6*0.6</f>
        <v>0.36</v>
      </c>
    </row>
    <row r="404" spans="2:12" ht="13.8" thickBot="1" x14ac:dyDescent="0.3">
      <c r="B404" s="351"/>
      <c r="C404" s="448"/>
      <c r="D404" s="386"/>
      <c r="E404" s="386"/>
      <c r="F404" s="434"/>
      <c r="G404" s="434"/>
      <c r="H404" s="305"/>
      <c r="I404" s="304"/>
      <c r="J404" s="306"/>
      <c r="K404" s="183"/>
      <c r="L404" s="183"/>
    </row>
    <row r="405" spans="2:12" ht="13.8" thickBot="1" x14ac:dyDescent="0.3">
      <c r="B405" s="381"/>
      <c r="C405" s="448"/>
      <c r="D405" s="386"/>
      <c r="E405" s="386"/>
      <c r="F405" s="434"/>
      <c r="G405" s="434"/>
      <c r="H405" s="305"/>
      <c r="I405" s="304"/>
      <c r="J405" s="306"/>
      <c r="K405" s="183"/>
      <c r="L405" s="183"/>
    </row>
    <row r="406" spans="2:12" ht="13.8" thickBot="1" x14ac:dyDescent="0.3">
      <c r="B406" s="351" t="s">
        <v>364</v>
      </c>
      <c r="C406" s="448">
        <v>5</v>
      </c>
      <c r="D406" s="386">
        <v>3.1</v>
      </c>
      <c r="E406" s="386">
        <v>0.2</v>
      </c>
      <c r="F406" s="434">
        <v>1</v>
      </c>
      <c r="G406" s="434">
        <f t="shared" ref="G406:G416" si="36">F406*E406*D406*C406</f>
        <v>3.1000000000000005</v>
      </c>
      <c r="H406" s="335">
        <f>(D406+D406+E406)*C406*F406</f>
        <v>32</v>
      </c>
      <c r="I406" s="304"/>
      <c r="J406" s="183"/>
      <c r="K406" s="183"/>
      <c r="L406" s="183"/>
    </row>
    <row r="407" spans="2:12" ht="13.8" thickBot="1" x14ac:dyDescent="0.3">
      <c r="B407" s="298"/>
      <c r="C407" s="386">
        <v>3.3</v>
      </c>
      <c r="D407" s="386">
        <v>1.8</v>
      </c>
      <c r="E407" s="386">
        <v>0.2</v>
      </c>
      <c r="F407" s="434">
        <v>2</v>
      </c>
      <c r="G407" s="434">
        <f t="shared" si="36"/>
        <v>2.3760000000000003</v>
      </c>
      <c r="H407" s="335">
        <f t="shared" ref="H407:H416" si="37">(D407+D407+E407)*C407*F407</f>
        <v>25.080000000000002</v>
      </c>
      <c r="I407" s="304"/>
      <c r="J407" s="183"/>
      <c r="K407" s="183"/>
      <c r="L407" s="183"/>
    </row>
    <row r="408" spans="2:12" ht="13.8" thickBot="1" x14ac:dyDescent="0.3">
      <c r="B408" s="427"/>
      <c r="C408" s="386">
        <v>5.2</v>
      </c>
      <c r="D408" s="386">
        <v>2.2000000000000002</v>
      </c>
      <c r="E408" s="386">
        <v>0.2</v>
      </c>
      <c r="F408" s="434">
        <v>1</v>
      </c>
      <c r="G408" s="434">
        <f t="shared" si="36"/>
        <v>2.2880000000000003</v>
      </c>
      <c r="H408" s="335">
        <f t="shared" si="37"/>
        <v>23.920000000000005</v>
      </c>
      <c r="I408" s="304"/>
      <c r="J408" s="183"/>
      <c r="K408" s="183"/>
      <c r="L408" s="183"/>
    </row>
    <row r="409" spans="2:12" ht="13.8" thickBot="1" x14ac:dyDescent="0.3">
      <c r="B409" s="427"/>
      <c r="C409" s="386">
        <v>5.2</v>
      </c>
      <c r="D409" s="386">
        <v>2.2000000000000002</v>
      </c>
      <c r="E409" s="386">
        <v>0.2</v>
      </c>
      <c r="F409" s="434">
        <v>1</v>
      </c>
      <c r="G409" s="434">
        <f t="shared" si="36"/>
        <v>2.2880000000000003</v>
      </c>
      <c r="H409" s="335">
        <f t="shared" si="37"/>
        <v>23.920000000000005</v>
      </c>
      <c r="I409" s="304"/>
      <c r="J409" s="183"/>
      <c r="K409" s="183"/>
      <c r="L409" s="183"/>
    </row>
    <row r="410" spans="2:12" ht="13.8" thickBot="1" x14ac:dyDescent="0.3">
      <c r="B410" s="427"/>
      <c r="C410" s="386">
        <v>5.2</v>
      </c>
      <c r="D410" s="386">
        <v>2.2000000000000002</v>
      </c>
      <c r="E410" s="386">
        <v>0.2</v>
      </c>
      <c r="F410" s="434">
        <v>1</v>
      </c>
      <c r="G410" s="434">
        <f t="shared" si="36"/>
        <v>2.2880000000000003</v>
      </c>
      <c r="H410" s="335">
        <f t="shared" si="37"/>
        <v>23.920000000000005</v>
      </c>
      <c r="I410" s="304"/>
      <c r="J410" s="183"/>
      <c r="K410" s="183"/>
      <c r="L410" s="183"/>
    </row>
    <row r="411" spans="2:12" ht="13.8" thickBot="1" x14ac:dyDescent="0.3">
      <c r="B411" s="427"/>
      <c r="C411" s="386">
        <v>5.2</v>
      </c>
      <c r="D411" s="386">
        <v>2.2000000000000002</v>
      </c>
      <c r="E411" s="386">
        <v>0.2</v>
      </c>
      <c r="F411" s="434">
        <v>1</v>
      </c>
      <c r="G411" s="434">
        <f t="shared" si="36"/>
        <v>2.2880000000000003</v>
      </c>
      <c r="H411" s="335">
        <f t="shared" si="37"/>
        <v>23.920000000000005</v>
      </c>
      <c r="I411" s="304"/>
      <c r="J411" s="183"/>
      <c r="K411" s="183"/>
      <c r="L411" s="183"/>
    </row>
    <row r="412" spans="2:12" ht="13.8" thickBot="1" x14ac:dyDescent="0.3">
      <c r="B412" s="427"/>
      <c r="C412" s="386">
        <v>3.3</v>
      </c>
      <c r="D412" s="386">
        <v>0.8</v>
      </c>
      <c r="E412" s="386">
        <v>0.2</v>
      </c>
      <c r="F412" s="434">
        <v>2</v>
      </c>
      <c r="G412" s="434">
        <f t="shared" si="36"/>
        <v>1.056</v>
      </c>
      <c r="H412" s="335">
        <f t="shared" si="37"/>
        <v>11.879999999999999</v>
      </c>
      <c r="I412" s="304"/>
      <c r="J412" s="183"/>
      <c r="K412" s="183"/>
      <c r="L412" s="183"/>
    </row>
    <row r="413" spans="2:12" ht="13.8" thickBot="1" x14ac:dyDescent="0.3">
      <c r="B413" s="427"/>
      <c r="C413" s="386">
        <v>5.2</v>
      </c>
      <c r="D413" s="386">
        <v>3.1</v>
      </c>
      <c r="E413" s="386">
        <v>0.2</v>
      </c>
      <c r="F413" s="434">
        <v>1</v>
      </c>
      <c r="G413" s="434">
        <f t="shared" si="36"/>
        <v>3.2240000000000006</v>
      </c>
      <c r="H413" s="335">
        <f t="shared" si="37"/>
        <v>33.28</v>
      </c>
      <c r="I413" s="304"/>
      <c r="J413" s="183"/>
      <c r="K413" s="183"/>
      <c r="L413" s="183"/>
    </row>
    <row r="414" spans="2:12" ht="13.8" thickBot="1" x14ac:dyDescent="0.3">
      <c r="B414" s="427"/>
      <c r="C414" s="386">
        <v>20.67</v>
      </c>
      <c r="D414" s="386">
        <v>3.3</v>
      </c>
      <c r="E414" s="386">
        <v>0.2</v>
      </c>
      <c r="F414" s="434">
        <v>1</v>
      </c>
      <c r="G414" s="434">
        <f t="shared" si="36"/>
        <v>13.642200000000003</v>
      </c>
      <c r="H414" s="335">
        <f t="shared" si="37"/>
        <v>140.55600000000001</v>
      </c>
      <c r="I414" s="304"/>
      <c r="J414" s="183"/>
      <c r="K414" s="183">
        <f>0.8*1.2*0.2</f>
        <v>0.192</v>
      </c>
      <c r="L414" s="183">
        <f>0.8*1.2</f>
        <v>0.96</v>
      </c>
    </row>
    <row r="415" spans="2:12" ht="13.8" thickBot="1" x14ac:dyDescent="0.3">
      <c r="B415" s="427"/>
      <c r="C415" s="386">
        <v>7</v>
      </c>
      <c r="D415" s="386">
        <v>2.2000000000000002</v>
      </c>
      <c r="E415" s="386">
        <v>0.2</v>
      </c>
      <c r="F415" s="434">
        <v>4</v>
      </c>
      <c r="G415" s="434">
        <f t="shared" si="36"/>
        <v>12.320000000000002</v>
      </c>
      <c r="H415" s="335">
        <f t="shared" si="37"/>
        <v>128.80000000000001</v>
      </c>
      <c r="I415" s="304"/>
      <c r="J415" s="183"/>
      <c r="K415" s="183"/>
      <c r="L415" s="183"/>
    </row>
    <row r="416" spans="2:12" ht="13.8" thickBot="1" x14ac:dyDescent="0.3">
      <c r="B416" s="427"/>
      <c r="C416" s="386">
        <v>20.67</v>
      </c>
      <c r="D416" s="386">
        <v>3.3</v>
      </c>
      <c r="E416" s="386">
        <v>0.2</v>
      </c>
      <c r="F416" s="434">
        <v>1</v>
      </c>
      <c r="G416" s="434">
        <f t="shared" si="36"/>
        <v>13.642200000000003</v>
      </c>
      <c r="H416" s="335">
        <f t="shared" si="37"/>
        <v>140.55600000000001</v>
      </c>
      <c r="I416" s="304"/>
      <c r="J416" s="183"/>
      <c r="K416" s="183"/>
      <c r="L416" s="183"/>
    </row>
    <row r="417" spans="2:12" ht="13.8" thickBot="1" x14ac:dyDescent="0.3">
      <c r="B417" s="427"/>
      <c r="C417" s="386"/>
      <c r="D417" s="386"/>
      <c r="E417" s="386"/>
      <c r="F417" s="434"/>
      <c r="G417" s="434"/>
      <c r="H417" s="335"/>
      <c r="I417" s="304"/>
      <c r="J417" s="183"/>
      <c r="K417" s="183"/>
      <c r="L417" s="183"/>
    </row>
    <row r="418" spans="2:12" ht="13.8" thickBot="1" x14ac:dyDescent="0.3">
      <c r="B418" s="463" t="s">
        <v>366</v>
      </c>
      <c r="C418" s="464"/>
      <c r="D418" s="464"/>
      <c r="E418" s="464"/>
      <c r="F418" s="465"/>
      <c r="G418" s="466">
        <f>SUM(G392:G416)-K418</f>
        <v>147.40214999999998</v>
      </c>
      <c r="H418" s="467"/>
      <c r="I418" s="467"/>
      <c r="J418" s="468" t="s">
        <v>29</v>
      </c>
      <c r="K418" s="468">
        <f>SUM(K398:K414)</f>
        <v>0.372</v>
      </c>
      <c r="L418" s="468">
        <f>SUM(L398:L414)</f>
        <v>2.04</v>
      </c>
    </row>
    <row r="419" spans="2:12" ht="13.8" thickBot="1" x14ac:dyDescent="0.3">
      <c r="B419" s="427"/>
      <c r="C419" s="414"/>
      <c r="D419" s="414"/>
      <c r="E419" s="414"/>
      <c r="F419" s="432"/>
      <c r="G419" s="441"/>
      <c r="H419" s="311"/>
      <c r="I419" s="311"/>
      <c r="J419" s="442"/>
      <c r="K419" s="442"/>
      <c r="L419" s="442"/>
    </row>
    <row r="420" spans="2:12" ht="13.8" thickBot="1" x14ac:dyDescent="0.3">
      <c r="B420" s="463" t="s">
        <v>367</v>
      </c>
      <c r="C420" s="464"/>
      <c r="D420" s="464"/>
      <c r="E420" s="464"/>
      <c r="F420" s="465"/>
      <c r="G420" s="466"/>
      <c r="H420" s="468">
        <f>SUM(H392:H417)-L418</f>
        <v>983.37300000000027</v>
      </c>
      <c r="I420" s="467"/>
      <c r="J420" s="468" t="s">
        <v>3</v>
      </c>
      <c r="K420" s="468"/>
      <c r="L420" s="468"/>
    </row>
    <row r="421" spans="2:12" ht="13.8" thickBot="1" x14ac:dyDescent="0.3">
      <c r="B421" s="427"/>
      <c r="C421" s="414"/>
      <c r="D421" s="414"/>
      <c r="E421" s="414"/>
      <c r="F421" s="432"/>
      <c r="G421" s="441"/>
      <c r="H421" s="311"/>
      <c r="I421" s="311"/>
      <c r="J421" s="442"/>
      <c r="K421" s="442"/>
      <c r="L421" s="442"/>
    </row>
    <row r="422" spans="2:12" ht="13.8" thickBot="1" x14ac:dyDescent="0.3">
      <c r="B422" s="371"/>
      <c r="C422" s="458"/>
      <c r="D422" s="458"/>
      <c r="E422" s="458"/>
      <c r="F422" s="435"/>
      <c r="G422" s="435"/>
      <c r="H422" s="183"/>
      <c r="I422" s="183"/>
      <c r="J422" s="183"/>
      <c r="K422" s="388"/>
      <c r="L422" s="388"/>
    </row>
    <row r="423" spans="2:12" ht="13.8" thickBot="1" x14ac:dyDescent="0.3">
      <c r="B423" s="347" t="s">
        <v>370</v>
      </c>
      <c r="C423" s="450"/>
      <c r="D423" s="450"/>
      <c r="E423" s="450"/>
      <c r="F423" s="451"/>
      <c r="G423" s="460"/>
      <c r="H423" s="452"/>
      <c r="I423" s="439">
        <v>1236</v>
      </c>
      <c r="J423" s="183" t="s">
        <v>108</v>
      </c>
      <c r="K423" s="439"/>
      <c r="L423" s="439"/>
    </row>
    <row r="424" spans="2:12" ht="13.8" thickBot="1" x14ac:dyDescent="0.3">
      <c r="B424" s="347" t="s">
        <v>371</v>
      </c>
      <c r="C424" s="386"/>
      <c r="D424" s="386"/>
      <c r="E424" s="386"/>
      <c r="F424" s="434"/>
      <c r="G424" s="435"/>
      <c r="H424" s="306"/>
      <c r="I424" s="183">
        <v>5448</v>
      </c>
      <c r="J424" s="183" t="s">
        <v>108</v>
      </c>
      <c r="K424" s="183"/>
      <c r="L424" s="183"/>
    </row>
    <row r="425" spans="2:12" ht="13.8" thickBot="1" x14ac:dyDescent="0.3">
      <c r="B425" s="347" t="s">
        <v>344</v>
      </c>
      <c r="C425" s="414"/>
      <c r="D425" s="414"/>
      <c r="E425" s="414"/>
      <c r="F425" s="432"/>
      <c r="G425" s="432"/>
      <c r="H425" s="311"/>
      <c r="I425" s="442">
        <v>1477</v>
      </c>
      <c r="J425" s="183" t="s">
        <v>108</v>
      </c>
      <c r="K425" s="311"/>
      <c r="L425" s="311"/>
    </row>
    <row r="426" spans="2:12" ht="13.8" thickBot="1" x14ac:dyDescent="0.3">
      <c r="B426" s="347" t="s">
        <v>412</v>
      </c>
      <c r="C426" s="386"/>
      <c r="D426" s="386"/>
      <c r="E426" s="386"/>
      <c r="F426" s="434"/>
      <c r="G426" s="387"/>
      <c r="H426" s="306"/>
      <c r="I426" s="183">
        <v>1207</v>
      </c>
      <c r="J426" s="183" t="s">
        <v>108</v>
      </c>
      <c r="K426" s="306"/>
      <c r="L426" s="306"/>
    </row>
    <row r="427" spans="2:12" ht="13.8" thickBot="1" x14ac:dyDescent="0.3">
      <c r="B427" s="347" t="s">
        <v>413</v>
      </c>
      <c r="C427" s="414"/>
      <c r="D427" s="414"/>
      <c r="E427" s="414"/>
      <c r="F427" s="432"/>
      <c r="G427" s="387"/>
      <c r="H427" s="311"/>
      <c r="I427" s="442">
        <v>441</v>
      </c>
      <c r="J427" s="183" t="s">
        <v>108</v>
      </c>
      <c r="K427" s="311"/>
      <c r="L427" s="311"/>
    </row>
    <row r="428" spans="2:12" ht="13.8" thickBot="1" x14ac:dyDescent="0.3">
      <c r="B428" s="371"/>
      <c r="C428" s="385"/>
      <c r="D428" s="385"/>
      <c r="E428" s="385"/>
      <c r="F428" s="387"/>
      <c r="G428" s="387"/>
      <c r="H428" s="183"/>
      <c r="I428" s="183"/>
      <c r="J428" s="183"/>
      <c r="K428" s="388"/>
      <c r="L428" s="388"/>
    </row>
    <row r="429" spans="2:12" ht="13.8" thickBot="1" x14ac:dyDescent="0.3">
      <c r="B429" s="371"/>
      <c r="C429" s="385"/>
      <c r="D429" s="385"/>
      <c r="E429" s="385"/>
      <c r="F429" s="387"/>
      <c r="G429" s="387"/>
      <c r="H429" s="183"/>
      <c r="I429" s="183"/>
      <c r="J429" s="183"/>
      <c r="K429" s="388"/>
      <c r="L429" s="388"/>
    </row>
    <row r="430" spans="2:12" ht="13.8" thickBot="1" x14ac:dyDescent="0.3">
      <c r="B430" s="469" t="s">
        <v>414</v>
      </c>
      <c r="C430" s="470">
        <v>21.52</v>
      </c>
      <c r="D430" s="470">
        <v>7.05</v>
      </c>
      <c r="E430" s="470">
        <v>3.3</v>
      </c>
      <c r="F430" s="471">
        <v>1</v>
      </c>
      <c r="G430" s="466">
        <f>C430*D430*E430*F430</f>
        <v>500.66279999999989</v>
      </c>
      <c r="H430" s="472"/>
      <c r="I430" s="472"/>
      <c r="J430" s="472" t="s">
        <v>29</v>
      </c>
      <c r="K430" s="473"/>
      <c r="L430" s="473"/>
    </row>
    <row r="431" spans="2:12" ht="13.8" thickBot="1" x14ac:dyDescent="0.3">
      <c r="B431" s="347"/>
      <c r="C431" s="461"/>
      <c r="D431" s="461"/>
      <c r="E431" s="461"/>
      <c r="F431" s="462"/>
      <c r="G431" s="387"/>
      <c r="H431" s="439"/>
      <c r="I431" s="439"/>
      <c r="J431" s="439"/>
      <c r="K431" s="440"/>
      <c r="L431" s="440"/>
    </row>
    <row r="432" spans="2:12" ht="13.8" thickBot="1" x14ac:dyDescent="0.3">
      <c r="B432" s="469" t="s">
        <v>375</v>
      </c>
      <c r="C432" s="470"/>
      <c r="D432" s="470"/>
      <c r="E432" s="470"/>
      <c r="F432" s="471"/>
      <c r="G432" s="466">
        <f>G388-G430</f>
        <v>71.016000000000133</v>
      </c>
      <c r="H432" s="472"/>
      <c r="I432" s="472"/>
      <c r="J432" s="472" t="s">
        <v>29</v>
      </c>
      <c r="K432" s="473"/>
      <c r="L432" s="473"/>
    </row>
    <row r="433" spans="1:12" ht="13.8" thickBot="1" x14ac:dyDescent="0.3">
      <c r="B433" s="347"/>
      <c r="C433" s="461"/>
      <c r="D433" s="461"/>
      <c r="E433" s="461"/>
      <c r="F433" s="462"/>
      <c r="G433" s="387"/>
      <c r="H433" s="439"/>
      <c r="I433" s="439"/>
      <c r="J433" s="439"/>
      <c r="K433" s="440"/>
      <c r="L433" s="440"/>
    </row>
    <row r="434" spans="1:12" ht="13.8" thickBot="1" x14ac:dyDescent="0.3">
      <c r="B434" s="469" t="s">
        <v>376</v>
      </c>
      <c r="C434" s="470"/>
      <c r="D434" s="470"/>
      <c r="E434" s="470"/>
      <c r="F434" s="471"/>
      <c r="G434" s="466">
        <f>G430</f>
        <v>500.66279999999989</v>
      </c>
      <c r="H434" s="474"/>
      <c r="I434" s="472"/>
      <c r="J434" s="472" t="s">
        <v>29</v>
      </c>
      <c r="K434" s="473"/>
      <c r="L434" s="473"/>
    </row>
    <row r="435" spans="1:12" ht="13.8" thickBot="1" x14ac:dyDescent="0.3">
      <c r="B435" s="480"/>
      <c r="C435" s="245"/>
      <c r="D435" s="245"/>
      <c r="E435" s="245"/>
      <c r="F435" s="245"/>
      <c r="G435" s="245"/>
      <c r="H435" s="245"/>
      <c r="I435" s="245"/>
      <c r="J435" s="245"/>
      <c r="K435" s="246"/>
      <c r="L435" s="246"/>
    </row>
    <row r="437" spans="1:12" x14ac:dyDescent="0.25">
      <c r="A437" s="22" t="s">
        <v>224</v>
      </c>
      <c r="B437" s="22" t="s">
        <v>415</v>
      </c>
      <c r="C437" s="22"/>
    </row>
    <row r="438" spans="1:12" ht="13.8" thickBot="1" x14ac:dyDescent="0.3"/>
    <row r="439" spans="1:12" ht="13.8" thickBot="1" x14ac:dyDescent="0.3">
      <c r="B439" s="394"/>
      <c r="C439" s="395" t="s">
        <v>416</v>
      </c>
      <c r="D439" s="396"/>
      <c r="E439" s="396"/>
      <c r="F439" s="397"/>
      <c r="G439" s="397"/>
      <c r="H439" s="398"/>
      <c r="I439" s="431"/>
      <c r="J439" s="398"/>
      <c r="K439" s="430"/>
      <c r="L439" s="430"/>
    </row>
    <row r="440" spans="1:12" ht="13.8" thickBot="1" x14ac:dyDescent="0.3">
      <c r="B440" s="351"/>
      <c r="C440" s="385" t="s">
        <v>254</v>
      </c>
      <c r="D440" s="385" t="s">
        <v>267</v>
      </c>
      <c r="E440" s="385" t="s">
        <v>359</v>
      </c>
      <c r="F440" s="387" t="s">
        <v>6</v>
      </c>
      <c r="G440" s="387" t="s">
        <v>26</v>
      </c>
      <c r="H440" s="388" t="s">
        <v>343</v>
      </c>
      <c r="I440" s="388" t="s">
        <v>347</v>
      </c>
      <c r="J440" s="459" t="s">
        <v>7</v>
      </c>
      <c r="K440" s="459" t="s">
        <v>410</v>
      </c>
      <c r="L440" s="459" t="s">
        <v>411</v>
      </c>
    </row>
    <row r="441" spans="1:12" ht="13.8" thickBot="1" x14ac:dyDescent="0.3">
      <c r="B441" s="380" t="s">
        <v>402</v>
      </c>
      <c r="C441" s="389">
        <v>6</v>
      </c>
      <c r="D441" s="389">
        <v>5</v>
      </c>
      <c r="E441" s="389">
        <v>1.9</v>
      </c>
      <c r="F441" s="390">
        <v>1</v>
      </c>
      <c r="G441" s="500">
        <f>F441*E441*D441*C441</f>
        <v>57</v>
      </c>
      <c r="H441" s="183"/>
      <c r="I441" s="183"/>
      <c r="J441" s="183" t="s">
        <v>29</v>
      </c>
      <c r="K441" s="388"/>
      <c r="L441" s="388"/>
    </row>
    <row r="442" spans="1:12" ht="13.8" thickBot="1" x14ac:dyDescent="0.3">
      <c r="B442" s="380"/>
      <c r="C442" s="389">
        <v>6.8</v>
      </c>
      <c r="D442" s="389">
        <v>3.4</v>
      </c>
      <c r="E442" s="389">
        <v>1.9</v>
      </c>
      <c r="F442" s="390">
        <v>1</v>
      </c>
      <c r="G442" s="500">
        <f>F442*E442*D442*C442</f>
        <v>43.927999999999997</v>
      </c>
      <c r="H442" s="183"/>
      <c r="I442" s="183"/>
      <c r="J442" s="393"/>
      <c r="K442" s="429"/>
      <c r="L442" s="429"/>
    </row>
    <row r="443" spans="1:12" ht="13.8" thickBot="1" x14ac:dyDescent="0.3">
      <c r="B443" s="463" t="s">
        <v>417</v>
      </c>
      <c r="C443" s="475"/>
      <c r="D443" s="475"/>
      <c r="E443" s="475"/>
      <c r="F443" s="476"/>
      <c r="G443" s="477">
        <f>SUM(G441:G442)</f>
        <v>100.928</v>
      </c>
      <c r="H443" s="492"/>
      <c r="I443" s="492"/>
      <c r="J443" s="468" t="s">
        <v>29</v>
      </c>
      <c r="K443" s="493"/>
      <c r="L443" s="493"/>
    </row>
    <row r="444" spans="1:12" ht="13.8" thickBot="1" x14ac:dyDescent="0.3">
      <c r="B444" s="427"/>
      <c r="C444" s="389"/>
      <c r="D444" s="389"/>
      <c r="E444" s="389"/>
      <c r="F444" s="390"/>
      <c r="G444" s="390"/>
      <c r="H444" s="391"/>
      <c r="I444" s="391"/>
      <c r="J444" s="393"/>
      <c r="K444" s="393"/>
      <c r="L444" s="393"/>
    </row>
    <row r="445" spans="1:12" ht="13.8" thickBot="1" x14ac:dyDescent="0.3">
      <c r="B445" s="351" t="s">
        <v>418</v>
      </c>
      <c r="C445" s="389"/>
      <c r="D445" s="389"/>
      <c r="E445" s="389"/>
      <c r="F445" s="390"/>
      <c r="G445" s="390"/>
      <c r="H445" s="456"/>
      <c r="I445" s="457"/>
      <c r="J445" s="393"/>
      <c r="K445" s="393"/>
      <c r="L445" s="393"/>
    </row>
    <row r="446" spans="1:12" ht="13.8" thickBot="1" x14ac:dyDescent="0.3">
      <c r="B446" s="351" t="s">
        <v>406</v>
      </c>
      <c r="C446" s="389">
        <v>4</v>
      </c>
      <c r="D446" s="389">
        <v>3</v>
      </c>
      <c r="E446" s="389">
        <v>0.2</v>
      </c>
      <c r="F446" s="390">
        <v>1</v>
      </c>
      <c r="G446" s="390">
        <f t="shared" ref="G446:G448" si="38">F446*E446*D446*C446</f>
        <v>2.4000000000000004</v>
      </c>
      <c r="H446" s="456">
        <f t="shared" ref="H446:H447" si="39">C446*D446*F446</f>
        <v>12</v>
      </c>
      <c r="I446" s="457"/>
      <c r="J446" s="393"/>
      <c r="K446" s="393"/>
      <c r="L446" s="393"/>
    </row>
    <row r="447" spans="1:12" ht="13.8" thickBot="1" x14ac:dyDescent="0.3">
      <c r="B447" s="351" t="s">
        <v>361</v>
      </c>
      <c r="C447" s="389">
        <v>4</v>
      </c>
      <c r="D447" s="389">
        <v>3</v>
      </c>
      <c r="E447" s="389">
        <v>0.15</v>
      </c>
      <c r="F447" s="390">
        <v>8</v>
      </c>
      <c r="G447" s="390">
        <f t="shared" si="38"/>
        <v>14.399999999999999</v>
      </c>
      <c r="H447" s="456">
        <f t="shared" si="39"/>
        <v>96</v>
      </c>
      <c r="I447" s="457"/>
      <c r="J447" s="393"/>
      <c r="K447" s="393">
        <f>0.8*0.8*0.15</f>
        <v>9.6000000000000016E-2</v>
      </c>
      <c r="L447" s="393">
        <f>0.8*0.8</f>
        <v>0.64000000000000012</v>
      </c>
    </row>
    <row r="448" spans="1:12" ht="13.8" thickBot="1" x14ac:dyDescent="0.3">
      <c r="B448" s="381" t="s">
        <v>419</v>
      </c>
      <c r="C448" s="389">
        <v>5</v>
      </c>
      <c r="D448" s="389">
        <v>1.9</v>
      </c>
      <c r="E448" s="389">
        <v>0.2</v>
      </c>
      <c r="F448" s="390">
        <v>1</v>
      </c>
      <c r="G448" s="390">
        <f t="shared" si="38"/>
        <v>1.9</v>
      </c>
      <c r="H448" s="335">
        <f t="shared" ref="H448:H451" si="40">(D448+D448+E448)*C448*F448</f>
        <v>20</v>
      </c>
      <c r="I448" s="457"/>
      <c r="J448" s="391"/>
      <c r="K448" s="393"/>
      <c r="L448" s="393"/>
    </row>
    <row r="449" spans="2:12" ht="13.8" thickBot="1" x14ac:dyDescent="0.3">
      <c r="B449" s="351"/>
      <c r="C449" s="389">
        <v>5</v>
      </c>
      <c r="D449" s="389">
        <v>1.9</v>
      </c>
      <c r="E449" s="389">
        <v>0.2</v>
      </c>
      <c r="F449" s="390">
        <v>1</v>
      </c>
      <c r="G449" s="390">
        <f t="shared" ref="G449:G451" si="41">F449*E449*D449*C449</f>
        <v>1.9</v>
      </c>
      <c r="H449" s="335">
        <f t="shared" si="40"/>
        <v>20</v>
      </c>
      <c r="I449" s="457"/>
      <c r="J449" s="391"/>
      <c r="K449" s="393"/>
      <c r="L449" s="393"/>
    </row>
    <row r="450" spans="2:12" ht="13.8" thickBot="1" x14ac:dyDescent="0.3">
      <c r="B450" s="381"/>
      <c r="C450" s="448">
        <v>3</v>
      </c>
      <c r="D450" s="386">
        <v>1.9</v>
      </c>
      <c r="E450" s="386">
        <v>0.2</v>
      </c>
      <c r="F450" s="434">
        <v>1</v>
      </c>
      <c r="G450" s="434">
        <f t="shared" si="41"/>
        <v>1.1400000000000001</v>
      </c>
      <c r="H450" s="335">
        <f t="shared" si="40"/>
        <v>12</v>
      </c>
      <c r="I450" s="304"/>
      <c r="J450" s="306"/>
      <c r="K450" s="183"/>
      <c r="L450" s="183"/>
    </row>
    <row r="451" spans="2:12" ht="13.8" thickBot="1" x14ac:dyDescent="0.3">
      <c r="B451" s="351"/>
      <c r="C451" s="448">
        <v>3</v>
      </c>
      <c r="D451" s="386">
        <v>1.9</v>
      </c>
      <c r="E451" s="386">
        <v>0.2</v>
      </c>
      <c r="F451" s="434">
        <v>1</v>
      </c>
      <c r="G451" s="434">
        <f t="shared" si="41"/>
        <v>1.1400000000000001</v>
      </c>
      <c r="H451" s="335">
        <f t="shared" si="40"/>
        <v>12</v>
      </c>
      <c r="I451" s="304"/>
      <c r="J451" s="306"/>
      <c r="K451" s="183"/>
      <c r="L451" s="183"/>
    </row>
    <row r="452" spans="2:12" ht="13.8" thickBot="1" x14ac:dyDescent="0.3">
      <c r="B452" s="381"/>
      <c r="C452" s="448"/>
      <c r="D452" s="386"/>
      <c r="E452" s="386"/>
      <c r="F452" s="434"/>
      <c r="G452" s="434"/>
      <c r="H452" s="335"/>
      <c r="I452" s="304"/>
      <c r="J452" s="306"/>
      <c r="K452" s="183"/>
      <c r="L452" s="183"/>
    </row>
    <row r="453" spans="2:12" ht="13.8" thickBot="1" x14ac:dyDescent="0.3">
      <c r="B453" s="351" t="s">
        <v>420</v>
      </c>
      <c r="C453" s="389"/>
      <c r="D453" s="389"/>
      <c r="E453" s="389"/>
      <c r="F453" s="390"/>
      <c r="G453" s="390"/>
      <c r="H453" s="456"/>
      <c r="I453" s="457"/>
      <c r="J453" s="393"/>
      <c r="K453" s="393"/>
      <c r="L453" s="393"/>
    </row>
    <row r="454" spans="2:12" ht="13.8" thickBot="1" x14ac:dyDescent="0.3">
      <c r="B454" s="351" t="s">
        <v>406</v>
      </c>
      <c r="C454" s="389">
        <v>5</v>
      </c>
      <c r="D454" s="389">
        <v>1.6</v>
      </c>
      <c r="E454" s="389">
        <v>0.2</v>
      </c>
      <c r="F454" s="390">
        <v>1</v>
      </c>
      <c r="G454" s="390">
        <f t="shared" ref="G454:G458" si="42">F454*E454*D454*C454</f>
        <v>1.6000000000000003</v>
      </c>
      <c r="H454" s="456">
        <f t="shared" ref="H454:H455" si="43">C454*D454*F454</f>
        <v>8</v>
      </c>
      <c r="I454" s="457"/>
      <c r="J454" s="393"/>
      <c r="K454" s="393"/>
      <c r="L454" s="393"/>
    </row>
    <row r="455" spans="2:12" ht="13.8" thickBot="1" x14ac:dyDescent="0.3">
      <c r="B455" s="351" t="s">
        <v>361</v>
      </c>
      <c r="C455" s="389">
        <v>5</v>
      </c>
      <c r="D455" s="389">
        <v>1.6</v>
      </c>
      <c r="E455" s="389">
        <v>0.15</v>
      </c>
      <c r="F455" s="390">
        <v>1</v>
      </c>
      <c r="G455" s="390">
        <f t="shared" si="42"/>
        <v>1.2</v>
      </c>
      <c r="H455" s="456">
        <f t="shared" si="43"/>
        <v>8</v>
      </c>
      <c r="I455" s="457"/>
      <c r="J455" s="393"/>
      <c r="K455" s="393">
        <f>0.8*0.8*0.15</f>
        <v>9.6000000000000016E-2</v>
      </c>
      <c r="L455" s="393">
        <f>0.8*0.8</f>
        <v>0.64000000000000012</v>
      </c>
    </row>
    <row r="456" spans="2:12" ht="13.8" thickBot="1" x14ac:dyDescent="0.3">
      <c r="B456" s="381" t="s">
        <v>419</v>
      </c>
      <c r="C456" s="389">
        <v>5</v>
      </c>
      <c r="D456" s="389">
        <v>1.9</v>
      </c>
      <c r="E456" s="389">
        <v>0.2</v>
      </c>
      <c r="F456" s="390">
        <v>1</v>
      </c>
      <c r="G456" s="390">
        <f t="shared" si="42"/>
        <v>1.9</v>
      </c>
      <c r="H456" s="335">
        <f t="shared" ref="H456:H458" si="44">(D456+D456+E456)*C456*F456</f>
        <v>20</v>
      </c>
      <c r="I456" s="457"/>
      <c r="J456" s="391"/>
      <c r="K456" s="393"/>
      <c r="L456" s="393"/>
    </row>
    <row r="457" spans="2:12" ht="13.8" thickBot="1" x14ac:dyDescent="0.3">
      <c r="B457" s="351"/>
      <c r="C457" s="389">
        <v>5</v>
      </c>
      <c r="D457" s="389">
        <v>1.9</v>
      </c>
      <c r="E457" s="389">
        <v>0.2</v>
      </c>
      <c r="F457" s="390">
        <v>1</v>
      </c>
      <c r="G457" s="390">
        <f t="shared" si="42"/>
        <v>1.9</v>
      </c>
      <c r="H457" s="335">
        <f t="shared" si="44"/>
        <v>20</v>
      </c>
      <c r="I457" s="457"/>
      <c r="J457" s="391"/>
      <c r="K457" s="393"/>
      <c r="L457" s="393"/>
    </row>
    <row r="458" spans="2:12" ht="13.8" thickBot="1" x14ac:dyDescent="0.3">
      <c r="B458" s="381"/>
      <c r="C458" s="448">
        <v>1.6</v>
      </c>
      <c r="D458" s="386">
        <v>1.9</v>
      </c>
      <c r="E458" s="386">
        <v>0.2</v>
      </c>
      <c r="F458" s="434">
        <v>1</v>
      </c>
      <c r="G458" s="434">
        <f t="shared" si="42"/>
        <v>0.6080000000000001</v>
      </c>
      <c r="H458" s="335">
        <f t="shared" si="44"/>
        <v>6.4</v>
      </c>
      <c r="I458" s="304"/>
      <c r="J458" s="306"/>
      <c r="K458" s="183"/>
      <c r="L458" s="183"/>
    </row>
    <row r="459" spans="2:12" ht="13.8" thickBot="1" x14ac:dyDescent="0.3">
      <c r="B459" s="351"/>
      <c r="C459" s="448">
        <v>1.6</v>
      </c>
      <c r="D459" s="386">
        <v>1.9</v>
      </c>
      <c r="E459" s="386">
        <v>0.2</v>
      </c>
      <c r="F459" s="434">
        <v>1</v>
      </c>
      <c r="G459" s="434">
        <f t="shared" ref="G459" si="45">F459*E459*D459*C459</f>
        <v>0.6080000000000001</v>
      </c>
      <c r="H459" s="335">
        <f t="shared" ref="H459" si="46">(D459+D459+E459)*C459*F459</f>
        <v>6.4</v>
      </c>
      <c r="I459" s="304"/>
      <c r="J459" s="306"/>
      <c r="K459" s="183"/>
      <c r="L459" s="183"/>
    </row>
    <row r="460" spans="2:12" ht="13.8" thickBot="1" x14ac:dyDescent="0.3">
      <c r="B460" s="427"/>
      <c r="C460" s="386"/>
      <c r="D460" s="386"/>
      <c r="E460" s="386"/>
      <c r="F460" s="434"/>
      <c r="G460" s="434"/>
      <c r="H460" s="335"/>
      <c r="I460" s="304"/>
      <c r="J460" s="183"/>
      <c r="K460" s="183"/>
      <c r="L460" s="183"/>
    </row>
    <row r="461" spans="2:12" ht="13.8" thickBot="1" x14ac:dyDescent="0.3">
      <c r="B461" s="463" t="s">
        <v>366</v>
      </c>
      <c r="C461" s="464"/>
      <c r="D461" s="464"/>
      <c r="E461" s="464"/>
      <c r="F461" s="465"/>
      <c r="G461" s="466">
        <f>SUM(G445:G459)-K461</f>
        <v>30.599999999999994</v>
      </c>
      <c r="H461" s="467"/>
      <c r="I461" s="467"/>
      <c r="J461" s="468" t="s">
        <v>29</v>
      </c>
      <c r="K461" s="468">
        <f>SUM(K451:K459)</f>
        <v>9.6000000000000016E-2</v>
      </c>
      <c r="L461" s="468">
        <f>SUM(L451:L459)</f>
        <v>0.64000000000000012</v>
      </c>
    </row>
    <row r="462" spans="2:12" ht="13.8" thickBot="1" x14ac:dyDescent="0.3">
      <c r="B462" s="427"/>
      <c r="C462" s="414"/>
      <c r="D462" s="414"/>
      <c r="E462" s="414"/>
      <c r="F462" s="432"/>
      <c r="G462" s="441"/>
      <c r="H462" s="311"/>
      <c r="I462" s="311"/>
      <c r="J462" s="442"/>
      <c r="K462" s="442"/>
      <c r="L462" s="442"/>
    </row>
    <row r="463" spans="2:12" ht="13.8" thickBot="1" x14ac:dyDescent="0.3">
      <c r="B463" s="463" t="s">
        <v>367</v>
      </c>
      <c r="C463" s="464"/>
      <c r="D463" s="464"/>
      <c r="E463" s="464"/>
      <c r="F463" s="465"/>
      <c r="G463" s="466"/>
      <c r="H463" s="468">
        <f>SUM(H445:H460)-L461</f>
        <v>240.16000000000003</v>
      </c>
      <c r="I463" s="467"/>
      <c r="J463" s="468" t="s">
        <v>3</v>
      </c>
      <c r="K463" s="468"/>
      <c r="L463" s="468"/>
    </row>
    <row r="464" spans="2:12" ht="13.8" thickBot="1" x14ac:dyDescent="0.3">
      <c r="B464" s="371"/>
      <c r="C464" s="414"/>
      <c r="D464" s="414"/>
      <c r="E464" s="414"/>
      <c r="F464" s="432"/>
      <c r="G464" s="441"/>
      <c r="H464" s="311"/>
      <c r="I464" s="311"/>
      <c r="J464" s="442"/>
      <c r="K464" s="442"/>
      <c r="L464" s="442"/>
    </row>
    <row r="465" spans="2:12" ht="13.8" thickBot="1" x14ac:dyDescent="0.3">
      <c r="B465" s="347" t="s">
        <v>368</v>
      </c>
      <c r="C465" s="458"/>
      <c r="D465" s="458"/>
      <c r="E465" s="458"/>
      <c r="F465" s="435"/>
      <c r="G465" s="435"/>
      <c r="H465" s="183"/>
      <c r="I465" s="183">
        <v>8</v>
      </c>
      <c r="J465" s="183" t="s">
        <v>108</v>
      </c>
      <c r="K465" s="388"/>
      <c r="L465" s="388"/>
    </row>
    <row r="466" spans="2:12" ht="13.8" thickBot="1" x14ac:dyDescent="0.3">
      <c r="B466" s="347" t="s">
        <v>370</v>
      </c>
      <c r="C466" s="450"/>
      <c r="D466" s="450"/>
      <c r="E466" s="450"/>
      <c r="F466" s="451"/>
      <c r="G466" s="460"/>
      <c r="H466" s="452"/>
      <c r="I466" s="439">
        <f>158+147</f>
        <v>305</v>
      </c>
      <c r="J466" s="183" t="s">
        <v>108</v>
      </c>
      <c r="K466" s="439"/>
      <c r="L466" s="439"/>
    </row>
    <row r="467" spans="2:12" ht="13.8" thickBot="1" x14ac:dyDescent="0.3">
      <c r="B467" s="347" t="s">
        <v>371</v>
      </c>
      <c r="C467" s="386"/>
      <c r="D467" s="386"/>
      <c r="E467" s="386"/>
      <c r="F467" s="434"/>
      <c r="G467" s="435"/>
      <c r="H467" s="306"/>
      <c r="I467" s="183">
        <f>437+321</f>
        <v>758</v>
      </c>
      <c r="J467" s="183" t="s">
        <v>108</v>
      </c>
      <c r="K467" s="183"/>
      <c r="L467" s="183"/>
    </row>
    <row r="468" spans="2:12" ht="13.8" thickBot="1" x14ac:dyDescent="0.3">
      <c r="B468" s="347" t="s">
        <v>344</v>
      </c>
      <c r="C468" s="414"/>
      <c r="D468" s="414"/>
      <c r="E468" s="414"/>
      <c r="F468" s="432"/>
      <c r="G468" s="432"/>
      <c r="H468" s="311"/>
      <c r="I468" s="442">
        <f>91+67</f>
        <v>158</v>
      </c>
      <c r="J468" s="183" t="s">
        <v>108</v>
      </c>
      <c r="K468" s="311"/>
      <c r="L468" s="311"/>
    </row>
    <row r="469" spans="2:12" ht="13.8" thickBot="1" x14ac:dyDescent="0.3">
      <c r="B469" s="371"/>
      <c r="C469" s="385"/>
      <c r="D469" s="385"/>
      <c r="E469" s="385"/>
      <c r="F469" s="387"/>
      <c r="G469" s="387"/>
      <c r="H469" s="183"/>
      <c r="I469" s="183"/>
      <c r="J469" s="183"/>
      <c r="K469" s="388"/>
      <c r="L469" s="388"/>
    </row>
    <row r="470" spans="2:12" ht="13.8" thickBot="1" x14ac:dyDescent="0.3">
      <c r="B470" s="371"/>
      <c r="C470" s="385"/>
      <c r="D470" s="385"/>
      <c r="E470" s="385"/>
      <c r="F470" s="387"/>
      <c r="G470" s="387"/>
      <c r="H470" s="183"/>
      <c r="I470" s="183"/>
      <c r="J470" s="183"/>
      <c r="K470" s="388"/>
      <c r="L470" s="388"/>
    </row>
    <row r="471" spans="2:12" ht="13.8" thickBot="1" x14ac:dyDescent="0.3">
      <c r="B471" s="371" t="s">
        <v>421</v>
      </c>
      <c r="C471" s="385">
        <v>4</v>
      </c>
      <c r="D471" s="385">
        <v>5</v>
      </c>
      <c r="E471" s="385">
        <v>0.2</v>
      </c>
      <c r="F471" s="387">
        <v>1</v>
      </c>
      <c r="G471" s="390">
        <f t="shared" ref="G471:G474" si="47">F471*E471*D471*C471</f>
        <v>4</v>
      </c>
      <c r="H471" s="183"/>
      <c r="I471" s="183"/>
      <c r="J471" s="183"/>
      <c r="K471" s="388"/>
      <c r="L471" s="388"/>
    </row>
    <row r="472" spans="2:12" ht="13.8" thickBot="1" x14ac:dyDescent="0.3">
      <c r="B472" s="371"/>
      <c r="C472" s="385">
        <v>3.4</v>
      </c>
      <c r="D472" s="385">
        <v>4.4000000000000004</v>
      </c>
      <c r="E472" s="385">
        <v>1.7</v>
      </c>
      <c r="F472" s="387">
        <v>1</v>
      </c>
      <c r="G472" s="390">
        <f t="shared" si="47"/>
        <v>25.432000000000002</v>
      </c>
      <c r="H472" s="183"/>
      <c r="I472" s="183"/>
      <c r="J472" s="183"/>
      <c r="K472" s="388"/>
      <c r="L472" s="388"/>
    </row>
    <row r="473" spans="2:12" ht="13.8" thickBot="1" x14ac:dyDescent="0.3">
      <c r="B473" s="371" t="s">
        <v>422</v>
      </c>
      <c r="C473" s="385">
        <v>2.4</v>
      </c>
      <c r="D473" s="385">
        <v>5.8</v>
      </c>
      <c r="E473" s="385">
        <v>0.2</v>
      </c>
      <c r="F473" s="387">
        <v>1</v>
      </c>
      <c r="G473" s="390">
        <f t="shared" si="47"/>
        <v>2.7839999999999998</v>
      </c>
      <c r="H473" s="183"/>
      <c r="I473" s="183"/>
      <c r="J473" s="183"/>
      <c r="K473" s="388"/>
      <c r="L473" s="388"/>
    </row>
    <row r="474" spans="2:12" ht="13.8" thickBot="1" x14ac:dyDescent="0.3">
      <c r="B474" s="347"/>
      <c r="C474" s="461">
        <v>2</v>
      </c>
      <c r="D474" s="461">
        <v>5.4</v>
      </c>
      <c r="E474" s="461">
        <v>1.7</v>
      </c>
      <c r="F474" s="462">
        <v>1</v>
      </c>
      <c r="G474" s="390">
        <f t="shared" si="47"/>
        <v>18.36</v>
      </c>
      <c r="H474" s="439"/>
      <c r="I474" s="439"/>
      <c r="J474" s="439"/>
      <c r="K474" s="440"/>
      <c r="L474" s="440"/>
    </row>
    <row r="475" spans="2:12" ht="13.8" thickBot="1" x14ac:dyDescent="0.3">
      <c r="B475" s="469" t="s">
        <v>414</v>
      </c>
      <c r="C475" s="470"/>
      <c r="D475" s="470"/>
      <c r="E475" s="470"/>
      <c r="F475" s="471"/>
      <c r="G475" s="466">
        <f>SUM(G471:G474)</f>
        <v>50.576000000000001</v>
      </c>
      <c r="H475" s="472"/>
      <c r="I475" s="472"/>
      <c r="J475" s="472" t="s">
        <v>29</v>
      </c>
      <c r="K475" s="473"/>
      <c r="L475" s="473"/>
    </row>
    <row r="476" spans="2:12" ht="13.8" thickBot="1" x14ac:dyDescent="0.3">
      <c r="B476" s="347"/>
      <c r="C476" s="461"/>
      <c r="D476" s="461"/>
      <c r="E476" s="461"/>
      <c r="F476" s="462"/>
      <c r="G476" s="387"/>
      <c r="H476" s="439"/>
      <c r="I476" s="439"/>
      <c r="J476" s="439"/>
      <c r="K476" s="440"/>
      <c r="L476" s="440"/>
    </row>
    <row r="477" spans="2:12" ht="13.8" thickBot="1" x14ac:dyDescent="0.3">
      <c r="B477" s="469" t="s">
        <v>375</v>
      </c>
      <c r="C477" s="470"/>
      <c r="D477" s="470"/>
      <c r="E477" s="470"/>
      <c r="F477" s="471"/>
      <c r="G477" s="466">
        <f>G443-G475</f>
        <v>50.351999999999997</v>
      </c>
      <c r="H477" s="472"/>
      <c r="I477" s="472"/>
      <c r="J477" s="472" t="s">
        <v>29</v>
      </c>
      <c r="K477" s="473"/>
      <c r="L477" s="473"/>
    </row>
    <row r="478" spans="2:12" ht="13.8" thickBot="1" x14ac:dyDescent="0.3">
      <c r="B478" s="347"/>
      <c r="C478" s="461"/>
      <c r="D478" s="461"/>
      <c r="E478" s="461"/>
      <c r="F478" s="462"/>
      <c r="G478" s="387"/>
      <c r="H478" s="439"/>
      <c r="I478" s="439"/>
      <c r="J478" s="439"/>
      <c r="K478" s="440"/>
      <c r="L478" s="440"/>
    </row>
    <row r="479" spans="2:12" ht="13.8" thickBot="1" x14ac:dyDescent="0.3">
      <c r="B479" s="469" t="s">
        <v>376</v>
      </c>
      <c r="C479" s="470"/>
      <c r="D479" s="470"/>
      <c r="E479" s="470"/>
      <c r="F479" s="471"/>
      <c r="G479" s="466">
        <f>G475</f>
        <v>50.576000000000001</v>
      </c>
      <c r="H479" s="474"/>
      <c r="I479" s="472"/>
      <c r="J479" s="472" t="s">
        <v>29</v>
      </c>
      <c r="K479" s="473"/>
      <c r="L479" s="473"/>
    </row>
    <row r="480" spans="2:12" ht="13.8" thickBot="1" x14ac:dyDescent="0.3">
      <c r="B480" s="480"/>
      <c r="C480" s="245"/>
      <c r="D480" s="245"/>
      <c r="E480" s="245"/>
      <c r="F480" s="245"/>
      <c r="G480" s="245"/>
      <c r="H480" s="245"/>
      <c r="I480" s="245"/>
      <c r="J480" s="245"/>
      <c r="K480" s="246"/>
      <c r="L480" s="246"/>
    </row>
    <row r="483" spans="1:11" x14ac:dyDescent="0.25">
      <c r="A483" s="22" t="s">
        <v>440</v>
      </c>
      <c r="B483" s="22" t="s">
        <v>457</v>
      </c>
    </row>
    <row r="484" spans="1:11" ht="13.8" thickBot="1" x14ac:dyDescent="0.3"/>
    <row r="485" spans="1:11" ht="13.8" thickBot="1" x14ac:dyDescent="0.3">
      <c r="B485" s="394"/>
      <c r="C485" s="395" t="s">
        <v>427</v>
      </c>
      <c r="D485" s="396"/>
      <c r="E485" s="396"/>
      <c r="F485" s="397"/>
      <c r="G485" s="397"/>
      <c r="H485" s="398"/>
      <c r="I485" s="431"/>
      <c r="J485" s="398"/>
      <c r="K485" s="430"/>
    </row>
    <row r="486" spans="1:11" ht="13.8" thickBot="1" x14ac:dyDescent="0.3">
      <c r="B486" s="351"/>
      <c r="C486" s="385" t="s">
        <v>254</v>
      </c>
      <c r="D486" s="385" t="s">
        <v>267</v>
      </c>
      <c r="E486" s="385" t="s">
        <v>359</v>
      </c>
      <c r="F486" s="387" t="s">
        <v>6</v>
      </c>
      <c r="G486" s="387" t="s">
        <v>26</v>
      </c>
      <c r="H486" s="388" t="s">
        <v>343</v>
      </c>
      <c r="I486" s="388" t="s">
        <v>347</v>
      </c>
      <c r="J486" s="459" t="s">
        <v>7</v>
      </c>
      <c r="K486" s="459" t="s">
        <v>348</v>
      </c>
    </row>
    <row r="487" spans="1:11" ht="13.8" thickBot="1" x14ac:dyDescent="0.3">
      <c r="B487" s="480"/>
      <c r="C487" s="245"/>
      <c r="D487" s="245"/>
      <c r="E487" s="245"/>
      <c r="F487" s="245"/>
      <c r="G487" s="245"/>
      <c r="H487" s="245"/>
      <c r="I487" s="245"/>
      <c r="J487" s="245"/>
      <c r="K487" s="246"/>
    </row>
    <row r="488" spans="1:11" ht="13.8" thickBot="1" x14ac:dyDescent="0.3">
      <c r="B488" s="221" t="s">
        <v>430</v>
      </c>
      <c r="C488" s="485">
        <v>0.36</v>
      </c>
      <c r="D488" s="485">
        <v>0.19</v>
      </c>
      <c r="E488" s="485">
        <v>0.36</v>
      </c>
      <c r="F488" s="434">
        <v>11</v>
      </c>
      <c r="G488" s="390">
        <f>F488*E488*D488*C488</f>
        <v>0.27086399999999999</v>
      </c>
      <c r="H488" s="388">
        <f>(C488+C488+D488+D488)*E488*F488</f>
        <v>4.3559999999999999</v>
      </c>
      <c r="I488" s="245"/>
      <c r="J488" s="245"/>
      <c r="K488" s="246"/>
    </row>
    <row r="489" spans="1:11" ht="13.8" thickBot="1" x14ac:dyDescent="0.3">
      <c r="B489" s="221" t="s">
        <v>428</v>
      </c>
      <c r="C489" s="501">
        <v>4.6900000000000004</v>
      </c>
      <c r="D489" s="501">
        <v>2.2000000000000002</v>
      </c>
      <c r="E489" s="501">
        <v>0.19</v>
      </c>
      <c r="F489" s="390">
        <v>2</v>
      </c>
      <c r="G489" s="390">
        <f>F489*E489*D489*C489</f>
        <v>3.9208400000000005</v>
      </c>
      <c r="H489" s="388">
        <f>(C489+C489+D489+D489)*E489*F489</f>
        <v>5.2364000000000006</v>
      </c>
      <c r="I489" s="245"/>
      <c r="J489" s="502"/>
      <c r="K489" s="503"/>
    </row>
    <row r="490" spans="1:11" ht="13.8" thickBot="1" x14ac:dyDescent="0.3">
      <c r="B490" s="221" t="s">
        <v>429</v>
      </c>
      <c r="C490" s="501">
        <v>4.6900000000000004</v>
      </c>
      <c r="D490" s="501">
        <v>0.36499999999999999</v>
      </c>
      <c r="E490" s="501">
        <v>0.2</v>
      </c>
      <c r="F490" s="390">
        <v>18</v>
      </c>
      <c r="G490" s="390">
        <f t="shared" ref="G490" si="48">F490*E490*D490*C490</f>
        <v>6.1626600000000007</v>
      </c>
      <c r="H490" s="456">
        <f t="shared" ref="H490" si="49">C490*D490*F490</f>
        <v>30.813300000000002</v>
      </c>
      <c r="I490" s="245"/>
      <c r="J490" s="502"/>
      <c r="K490" s="503"/>
    </row>
    <row r="491" spans="1:11" ht="13.8" thickBot="1" x14ac:dyDescent="0.3">
      <c r="B491" s="221" t="s">
        <v>439</v>
      </c>
      <c r="C491" s="501">
        <v>4.6900000000000004</v>
      </c>
      <c r="D491" s="501">
        <v>0.36</v>
      </c>
      <c r="E491" s="501">
        <v>0.19</v>
      </c>
      <c r="F491" s="390">
        <v>9</v>
      </c>
      <c r="G491" s="390">
        <f t="shared" ref="G491:G496" si="50">F491*E491*D491*C491</f>
        <v>2.8871639999999998</v>
      </c>
      <c r="H491" s="388">
        <f>(C491+C491+D491+D491)*E491*F491</f>
        <v>17.271000000000001</v>
      </c>
      <c r="I491" s="245"/>
      <c r="J491" s="502"/>
      <c r="K491" s="503"/>
    </row>
    <row r="492" spans="1:11" ht="13.8" thickBot="1" x14ac:dyDescent="0.3">
      <c r="B492" s="221" t="s">
        <v>433</v>
      </c>
      <c r="C492" s="501">
        <v>2.99</v>
      </c>
      <c r="D492" s="501">
        <v>0.19</v>
      </c>
      <c r="E492" s="501">
        <v>1</v>
      </c>
      <c r="F492" s="390">
        <v>9</v>
      </c>
      <c r="G492" s="390">
        <f t="shared" si="50"/>
        <v>5.1129000000000007</v>
      </c>
      <c r="H492" s="388">
        <f t="shared" ref="H492:H496" si="51">(C492+C492+D492+D492)*E492*F492</f>
        <v>57.240000000000009</v>
      </c>
      <c r="I492" s="245"/>
      <c r="J492" s="502"/>
      <c r="K492" s="503"/>
    </row>
    <row r="493" spans="1:11" ht="13.8" thickBot="1" x14ac:dyDescent="0.3">
      <c r="B493" s="221"/>
      <c r="C493" s="501">
        <v>2.2000000000000002</v>
      </c>
      <c r="D493" s="501">
        <v>0.19</v>
      </c>
      <c r="E493" s="501">
        <v>0.6</v>
      </c>
      <c r="F493" s="390">
        <v>9</v>
      </c>
      <c r="G493" s="390">
        <f t="shared" si="50"/>
        <v>2.2571999999999997</v>
      </c>
      <c r="H493" s="388">
        <f t="shared" si="51"/>
        <v>25.812000000000008</v>
      </c>
      <c r="I493" s="245"/>
      <c r="J493" s="502"/>
      <c r="K493" s="503"/>
    </row>
    <row r="494" spans="1:11" ht="13.8" thickBot="1" x14ac:dyDescent="0.3">
      <c r="B494" s="221" t="s">
        <v>434</v>
      </c>
      <c r="C494" s="501">
        <v>2.99</v>
      </c>
      <c r="D494" s="501">
        <v>0.14000000000000001</v>
      </c>
      <c r="E494" s="501">
        <v>0.5</v>
      </c>
      <c r="F494" s="390">
        <v>9</v>
      </c>
      <c r="G494" s="390">
        <f t="shared" si="50"/>
        <v>1.8837000000000004</v>
      </c>
      <c r="H494" s="388">
        <f t="shared" si="51"/>
        <v>28.169999999999998</v>
      </c>
      <c r="I494" s="245"/>
      <c r="J494" s="502"/>
      <c r="K494" s="503"/>
    </row>
    <row r="495" spans="1:11" ht="13.8" thickBot="1" x14ac:dyDescent="0.3">
      <c r="B495" s="221" t="s">
        <v>435</v>
      </c>
      <c r="C495" s="501">
        <v>2.99</v>
      </c>
      <c r="D495" s="501">
        <v>0.14000000000000001</v>
      </c>
      <c r="E495" s="501">
        <v>0.5</v>
      </c>
      <c r="F495" s="390">
        <v>9</v>
      </c>
      <c r="G495" s="390">
        <f t="shared" si="50"/>
        <v>1.8837000000000004</v>
      </c>
      <c r="H495" s="388">
        <f t="shared" si="51"/>
        <v>28.169999999999998</v>
      </c>
      <c r="I495" s="245"/>
      <c r="J495" s="502"/>
      <c r="K495" s="503"/>
    </row>
    <row r="496" spans="1:11" ht="13.8" thickBot="1" x14ac:dyDescent="0.3">
      <c r="B496" s="221" t="s">
        <v>438</v>
      </c>
      <c r="C496" s="501">
        <v>2.2000000000000002</v>
      </c>
      <c r="D496" s="501">
        <v>0.19</v>
      </c>
      <c r="E496" s="501">
        <v>2.2000000000000002</v>
      </c>
      <c r="F496" s="390">
        <v>1</v>
      </c>
      <c r="G496" s="390">
        <f t="shared" si="50"/>
        <v>0.9196000000000002</v>
      </c>
      <c r="H496" s="388">
        <f t="shared" si="51"/>
        <v>10.516000000000004</v>
      </c>
      <c r="I496" s="245"/>
      <c r="J496" s="502"/>
      <c r="K496" s="503"/>
    </row>
    <row r="497" spans="1:11" ht="13.8" thickBot="1" x14ac:dyDescent="0.3">
      <c r="B497" s="463" t="s">
        <v>206</v>
      </c>
      <c r="C497" s="494"/>
      <c r="D497" s="494"/>
      <c r="E497" s="494"/>
      <c r="F497" s="477"/>
      <c r="G497" s="477">
        <f>SUM(G488:G496)</f>
        <v>25.298628000000004</v>
      </c>
      <c r="H497" s="468"/>
      <c r="I497" s="468"/>
      <c r="J497" s="479" t="s">
        <v>29</v>
      </c>
      <c r="K497" s="479"/>
    </row>
    <row r="498" spans="1:11" ht="13.8" thickBot="1" x14ac:dyDescent="0.3">
      <c r="B498" s="351"/>
      <c r="C498" s="386"/>
      <c r="D498" s="386"/>
      <c r="E498" s="386"/>
      <c r="F498" s="434"/>
      <c r="G498" s="390"/>
      <c r="H498" s="388"/>
      <c r="I498" s="388"/>
      <c r="J498" s="183"/>
      <c r="K498" s="306"/>
    </row>
    <row r="499" spans="1:11" ht="13.8" thickBot="1" x14ac:dyDescent="0.3">
      <c r="B499" s="463" t="s">
        <v>343</v>
      </c>
      <c r="C499" s="495"/>
      <c r="D499" s="495"/>
      <c r="E499" s="495"/>
      <c r="F499" s="466"/>
      <c r="G499" s="466"/>
      <c r="H499" s="468">
        <f>SUM(H488:H498)</f>
        <v>207.5847</v>
      </c>
      <c r="I499" s="468"/>
      <c r="J499" s="468" t="s">
        <v>3</v>
      </c>
      <c r="K499" s="468"/>
    </row>
    <row r="500" spans="1:11" ht="13.8" thickBot="1" x14ac:dyDescent="0.3">
      <c r="B500" s="480"/>
      <c r="C500" s="245"/>
      <c r="D500" s="245"/>
      <c r="E500" s="245"/>
      <c r="F500" s="245"/>
      <c r="G500" s="245"/>
      <c r="H500" s="245"/>
      <c r="I500" s="245"/>
      <c r="J500" s="245"/>
      <c r="K500" s="246"/>
    </row>
    <row r="501" spans="1:11" ht="13.8" thickBot="1" x14ac:dyDescent="0.3">
      <c r="B501" s="371" t="s">
        <v>368</v>
      </c>
      <c r="C501" s="458"/>
      <c r="D501" s="458"/>
      <c r="E501" s="458"/>
      <c r="F501" s="435"/>
      <c r="G501" s="435"/>
      <c r="H501" s="183"/>
      <c r="I501" s="183">
        <v>252</v>
      </c>
      <c r="J501" s="183" t="s">
        <v>108</v>
      </c>
      <c r="K501" s="246"/>
    </row>
    <row r="502" spans="1:11" ht="13.8" thickBot="1" x14ac:dyDescent="0.3">
      <c r="B502" s="347" t="s">
        <v>370</v>
      </c>
      <c r="C502" s="450"/>
      <c r="D502" s="450"/>
      <c r="E502" s="450"/>
      <c r="F502" s="451"/>
      <c r="G502" s="460"/>
      <c r="H502" s="452"/>
      <c r="I502" s="439">
        <v>12</v>
      </c>
      <c r="J502" s="183" t="s">
        <v>108</v>
      </c>
      <c r="K502" s="246"/>
    </row>
    <row r="503" spans="1:11" ht="13.8" thickBot="1" x14ac:dyDescent="0.3">
      <c r="B503" s="347" t="s">
        <v>371</v>
      </c>
      <c r="C503" s="450"/>
      <c r="D503" s="450"/>
      <c r="E503" s="450"/>
      <c r="F503" s="451"/>
      <c r="G503" s="460"/>
      <c r="H503" s="452"/>
      <c r="I503" s="439">
        <v>1015</v>
      </c>
      <c r="J503" s="183" t="s">
        <v>108</v>
      </c>
      <c r="K503" s="246"/>
    </row>
    <row r="504" spans="1:11" ht="13.8" thickBot="1" x14ac:dyDescent="0.3">
      <c r="B504" s="347" t="s">
        <v>345</v>
      </c>
      <c r="C504" s="386"/>
      <c r="D504" s="386"/>
      <c r="E504" s="386"/>
      <c r="F504" s="434"/>
      <c r="G504" s="435"/>
      <c r="H504" s="306"/>
      <c r="I504" s="393">
        <v>26</v>
      </c>
      <c r="J504" s="183" t="s">
        <v>108</v>
      </c>
      <c r="K504" s="246"/>
    </row>
    <row r="505" spans="1:11" ht="13.8" thickBot="1" x14ac:dyDescent="0.3">
      <c r="B505" s="347" t="s">
        <v>432</v>
      </c>
      <c r="C505" s="245"/>
      <c r="D505" s="245"/>
      <c r="E505" s="245"/>
      <c r="F505" s="245"/>
      <c r="G505" s="245"/>
      <c r="H505" s="245"/>
      <c r="I505" s="372">
        <v>726</v>
      </c>
      <c r="J505" s="183" t="s">
        <v>108</v>
      </c>
      <c r="K505" s="246"/>
    </row>
    <row r="507" spans="1:11" x14ac:dyDescent="0.25">
      <c r="A507" s="22" t="s">
        <v>443</v>
      </c>
      <c r="B507" s="22" t="s">
        <v>444</v>
      </c>
    </row>
    <row r="508" spans="1:11" ht="13.8" thickBot="1" x14ac:dyDescent="0.3"/>
    <row r="509" spans="1:11" ht="13.8" thickBot="1" x14ac:dyDescent="0.3">
      <c r="B509" s="394"/>
      <c r="C509" s="395" t="s">
        <v>445</v>
      </c>
      <c r="D509" s="396"/>
      <c r="E509" s="396"/>
      <c r="F509" s="397"/>
      <c r="G509" s="397"/>
      <c r="H509" s="398"/>
      <c r="I509" s="431"/>
      <c r="J509" s="398"/>
      <c r="K509" s="430"/>
    </row>
    <row r="510" spans="1:11" ht="13.8" thickBot="1" x14ac:dyDescent="0.3">
      <c r="B510" s="351"/>
      <c r="C510" s="385" t="s">
        <v>254</v>
      </c>
      <c r="D510" s="385" t="s">
        <v>267</v>
      </c>
      <c r="E510" s="385" t="s">
        <v>359</v>
      </c>
      <c r="F510" s="387" t="s">
        <v>6</v>
      </c>
      <c r="G510" s="387" t="s">
        <v>26</v>
      </c>
      <c r="H510" s="388" t="s">
        <v>343</v>
      </c>
      <c r="I510" s="388" t="s">
        <v>347</v>
      </c>
      <c r="J510" s="459" t="s">
        <v>7</v>
      </c>
      <c r="K510" s="459" t="s">
        <v>348</v>
      </c>
    </row>
    <row r="511" spans="1:11" ht="13.8" thickBot="1" x14ac:dyDescent="0.3">
      <c r="B511" s="480"/>
      <c r="C511" s="245"/>
      <c r="D511" s="245"/>
      <c r="E511" s="245"/>
      <c r="F511" s="245"/>
      <c r="G511" s="245"/>
      <c r="H511" s="245"/>
      <c r="I511" s="245"/>
      <c r="J511" s="245"/>
      <c r="K511" s="246"/>
    </row>
    <row r="512" spans="1:11" ht="13.8" thickBot="1" x14ac:dyDescent="0.3">
      <c r="B512" s="221" t="s">
        <v>446</v>
      </c>
      <c r="C512" s="485">
        <v>1.46</v>
      </c>
      <c r="D512" s="485">
        <v>0.19</v>
      </c>
      <c r="E512" s="485">
        <v>0.1</v>
      </c>
      <c r="F512" s="434">
        <v>11</v>
      </c>
      <c r="G512" s="390">
        <f>F512*E512*D512*C512</f>
        <v>0.30514000000000002</v>
      </c>
      <c r="H512" s="388">
        <f>(C512+C512+D512+D512)*E512*F512</f>
        <v>3.6300000000000003</v>
      </c>
      <c r="I512" s="245"/>
      <c r="J512" s="245"/>
      <c r="K512" s="246"/>
    </row>
    <row r="513" spans="1:11" ht="13.8" thickBot="1" x14ac:dyDescent="0.3">
      <c r="B513" s="463" t="s">
        <v>206</v>
      </c>
      <c r="C513" s="494"/>
      <c r="D513" s="494"/>
      <c r="E513" s="494"/>
      <c r="F513" s="477"/>
      <c r="G513" s="477">
        <f>SUM(G512:G512)</f>
        <v>0.30514000000000002</v>
      </c>
      <c r="H513" s="468"/>
      <c r="I513" s="468"/>
      <c r="J513" s="479" t="s">
        <v>29</v>
      </c>
      <c r="K513" s="479"/>
    </row>
    <row r="514" spans="1:11" ht="13.8" thickBot="1" x14ac:dyDescent="0.3">
      <c r="B514" s="351"/>
      <c r="C514" s="386"/>
      <c r="D514" s="386"/>
      <c r="E514" s="386"/>
      <c r="F514" s="434"/>
      <c r="G514" s="390"/>
      <c r="H514" s="388"/>
      <c r="I514" s="388"/>
      <c r="J514" s="183"/>
      <c r="K514" s="306"/>
    </row>
    <row r="515" spans="1:11" ht="13.8" thickBot="1" x14ac:dyDescent="0.3">
      <c r="B515" s="463" t="s">
        <v>343</v>
      </c>
      <c r="C515" s="495"/>
      <c r="D515" s="495"/>
      <c r="E515" s="495"/>
      <c r="F515" s="466"/>
      <c r="G515" s="466"/>
      <c r="H515" s="468">
        <f>SUM(H512:H514)</f>
        <v>3.6300000000000003</v>
      </c>
      <c r="I515" s="468"/>
      <c r="J515" s="468" t="s">
        <v>3</v>
      </c>
      <c r="K515" s="468"/>
    </row>
    <row r="516" spans="1:11" ht="13.8" thickBot="1" x14ac:dyDescent="0.3">
      <c r="B516" s="480"/>
      <c r="C516" s="245"/>
      <c r="D516" s="245"/>
      <c r="E516" s="245"/>
      <c r="F516" s="245"/>
      <c r="G516" s="245"/>
      <c r="H516" s="245"/>
      <c r="I516" s="245"/>
      <c r="J516" s="245"/>
      <c r="K516" s="246"/>
    </row>
    <row r="517" spans="1:11" ht="13.8" thickBot="1" x14ac:dyDescent="0.3">
      <c r="B517" s="371" t="s">
        <v>139</v>
      </c>
      <c r="C517" s="458"/>
      <c r="D517" s="458"/>
      <c r="E517" s="458"/>
      <c r="F517" s="435"/>
      <c r="G517" s="435"/>
      <c r="H517" s="183"/>
      <c r="I517" s="183">
        <v>0.5</v>
      </c>
      <c r="J517" s="183" t="s">
        <v>108</v>
      </c>
      <c r="K517" s="246"/>
    </row>
    <row r="520" spans="1:11" x14ac:dyDescent="0.25">
      <c r="A520" s="22" t="s">
        <v>447</v>
      </c>
      <c r="B520" s="22" t="s">
        <v>448</v>
      </c>
      <c r="C520" s="22"/>
      <c r="D520" s="22"/>
    </row>
    <row r="521" spans="1:11" x14ac:dyDescent="0.25">
      <c r="A521" s="22"/>
      <c r="B521" s="22" t="s">
        <v>449</v>
      </c>
      <c r="C521" s="22"/>
      <c r="D521" s="22"/>
    </row>
    <row r="523" spans="1:11" x14ac:dyDescent="0.25">
      <c r="A523" s="22" t="s">
        <v>450</v>
      </c>
      <c r="B523" s="22" t="s">
        <v>451</v>
      </c>
      <c r="C523" s="22"/>
    </row>
    <row r="524" spans="1:11" ht="13.8" thickBot="1" x14ac:dyDescent="0.3"/>
    <row r="525" spans="1:11" ht="13.8" thickBot="1" x14ac:dyDescent="0.3">
      <c r="B525" s="394"/>
      <c r="C525" s="395" t="s">
        <v>452</v>
      </c>
      <c r="D525" s="396"/>
      <c r="E525" s="396"/>
      <c r="F525" s="397"/>
      <c r="G525" s="397"/>
      <c r="H525" s="398"/>
      <c r="I525" s="431"/>
      <c r="J525" s="398"/>
      <c r="K525" s="430"/>
    </row>
    <row r="526" spans="1:11" ht="13.8" thickBot="1" x14ac:dyDescent="0.3">
      <c r="B526" s="351"/>
      <c r="C526" s="385" t="s">
        <v>254</v>
      </c>
      <c r="D526" s="385" t="s">
        <v>267</v>
      </c>
      <c r="E526" s="385" t="s">
        <v>359</v>
      </c>
      <c r="F526" s="387" t="s">
        <v>6</v>
      </c>
      <c r="G526" s="387" t="s">
        <v>26</v>
      </c>
      <c r="H526" s="388" t="s">
        <v>343</v>
      </c>
      <c r="I526" s="388" t="s">
        <v>347</v>
      </c>
      <c r="J526" s="459" t="s">
        <v>7</v>
      </c>
      <c r="K526" s="459" t="s">
        <v>348</v>
      </c>
    </row>
    <row r="527" spans="1:11" ht="13.8" thickBot="1" x14ac:dyDescent="0.3">
      <c r="B527" s="380" t="s">
        <v>395</v>
      </c>
      <c r="C527" s="389">
        <v>0.6</v>
      </c>
      <c r="D527" s="389">
        <v>0.15</v>
      </c>
      <c r="E527" s="389">
        <v>15.64</v>
      </c>
      <c r="F527" s="390">
        <v>2</v>
      </c>
      <c r="G527" s="390">
        <f>F527*E527*D527*C527</f>
        <v>2.8151999999999999</v>
      </c>
      <c r="H527" s="388">
        <f>(C527+C527+D527+D527)*E527*F527</f>
        <v>46.919999999999995</v>
      </c>
      <c r="I527" s="388"/>
      <c r="J527" s="388"/>
      <c r="K527" s="246"/>
    </row>
    <row r="528" spans="1:11" ht="13.8" thickBot="1" x14ac:dyDescent="0.3">
      <c r="B528" s="380"/>
      <c r="C528" s="389"/>
      <c r="D528" s="389"/>
      <c r="E528" s="389"/>
      <c r="F528" s="390"/>
      <c r="G528" s="390"/>
      <c r="H528" s="388"/>
      <c r="I528" s="388"/>
      <c r="J528" s="429"/>
      <c r="K528" s="246"/>
    </row>
    <row r="529" spans="2:11" ht="13.8" thickBot="1" x14ac:dyDescent="0.3">
      <c r="B529" s="463" t="s">
        <v>206</v>
      </c>
      <c r="C529" s="494"/>
      <c r="D529" s="494"/>
      <c r="E529" s="494"/>
      <c r="F529" s="477"/>
      <c r="G529" s="477">
        <f>SUM(G527:G528)</f>
        <v>2.8151999999999999</v>
      </c>
      <c r="H529" s="468"/>
      <c r="I529" s="468"/>
      <c r="J529" s="479" t="s">
        <v>29</v>
      </c>
      <c r="K529" s="479"/>
    </row>
    <row r="530" spans="2:11" ht="13.8" thickBot="1" x14ac:dyDescent="0.3">
      <c r="B530" s="351"/>
      <c r="C530" s="386"/>
      <c r="D530" s="386"/>
      <c r="E530" s="386"/>
      <c r="F530" s="434"/>
      <c r="G530" s="390"/>
      <c r="H530" s="388"/>
      <c r="I530" s="388"/>
      <c r="J530" s="183"/>
      <c r="K530" s="306"/>
    </row>
    <row r="531" spans="2:11" ht="13.8" thickBot="1" x14ac:dyDescent="0.3">
      <c r="B531" s="463" t="s">
        <v>343</v>
      </c>
      <c r="C531" s="495"/>
      <c r="D531" s="495"/>
      <c r="E531" s="495"/>
      <c r="F531" s="466"/>
      <c r="G531" s="466"/>
      <c r="H531" s="468">
        <f>SUM(H527:H530)</f>
        <v>46.919999999999995</v>
      </c>
      <c r="I531" s="468"/>
      <c r="J531" s="468" t="s">
        <v>3</v>
      </c>
      <c r="K531" s="468"/>
    </row>
    <row r="532" spans="2:11" ht="13.8" thickBot="1" x14ac:dyDescent="0.3">
      <c r="B532" s="480"/>
      <c r="C532" s="245"/>
      <c r="D532" s="245"/>
      <c r="E532" s="245"/>
      <c r="F532" s="245"/>
      <c r="G532" s="245"/>
      <c r="H532" s="245"/>
      <c r="I532" s="245"/>
      <c r="J532" s="245"/>
      <c r="K532" s="246"/>
    </row>
    <row r="533" spans="2:11" ht="13.8" thickBot="1" x14ac:dyDescent="0.3">
      <c r="B533" s="480"/>
      <c r="C533" s="245"/>
      <c r="D533" s="245"/>
      <c r="E533" s="245"/>
      <c r="F533" s="245"/>
      <c r="G533" s="245"/>
      <c r="H533" s="245"/>
      <c r="I533" s="245"/>
      <c r="J533" s="245"/>
      <c r="K533" s="246"/>
    </row>
    <row r="534" spans="2:11" ht="13.8" thickBot="1" x14ac:dyDescent="0.3">
      <c r="B534" s="347" t="s">
        <v>371</v>
      </c>
      <c r="C534" s="458"/>
      <c r="D534" s="458"/>
      <c r="E534" s="458"/>
      <c r="F534" s="435"/>
      <c r="G534" s="435"/>
      <c r="H534" s="183"/>
      <c r="I534" s="183">
        <v>64</v>
      </c>
      <c r="J534" s="183" t="s">
        <v>108</v>
      </c>
      <c r="K534" s="481"/>
    </row>
    <row r="535" spans="2:11" ht="13.8" thickBot="1" x14ac:dyDescent="0.3">
      <c r="B535" s="347" t="s">
        <v>344</v>
      </c>
      <c r="C535" s="450"/>
      <c r="D535" s="450"/>
      <c r="E535" s="450"/>
      <c r="F535" s="451"/>
      <c r="G535" s="460"/>
      <c r="H535" s="452"/>
      <c r="I535" s="439">
        <v>30</v>
      </c>
      <c r="J535" s="183" t="s">
        <v>108</v>
      </c>
      <c r="K535" s="481"/>
    </row>
    <row r="536" spans="2:11" ht="13.8" thickBot="1" x14ac:dyDescent="0.3">
      <c r="B536" s="347" t="s">
        <v>453</v>
      </c>
      <c r="C536" s="386"/>
      <c r="D536" s="386"/>
      <c r="E536" s="386"/>
      <c r="F536" s="434"/>
      <c r="G536" s="435"/>
      <c r="H536" s="306"/>
      <c r="I536" s="183">
        <v>958</v>
      </c>
      <c r="J536" s="183" t="s">
        <v>108</v>
      </c>
      <c r="K536" s="481"/>
    </row>
    <row r="537" spans="2:11" ht="13.8" thickBot="1" x14ac:dyDescent="0.3">
      <c r="B537" s="504"/>
      <c r="C537" s="386"/>
      <c r="D537" s="386"/>
      <c r="E537" s="386"/>
      <c r="F537" s="434"/>
      <c r="G537" s="435"/>
      <c r="H537" s="305"/>
      <c r="I537" s="336"/>
      <c r="J537" s="336"/>
      <c r="K537" s="481"/>
    </row>
    <row r="538" spans="2:11" ht="13.8" thickBot="1" x14ac:dyDescent="0.3">
      <c r="B538" s="504" t="s">
        <v>454</v>
      </c>
      <c r="C538" s="386">
        <v>15.64</v>
      </c>
      <c r="D538" s="386">
        <v>0.8</v>
      </c>
      <c r="E538" s="386"/>
      <c r="F538" s="434">
        <v>2</v>
      </c>
      <c r="G538" s="435"/>
      <c r="H538" s="305">
        <f>F538*D538*C538</f>
        <v>25.024000000000001</v>
      </c>
      <c r="I538" s="336"/>
      <c r="J538" s="336"/>
      <c r="K538" s="481"/>
    </row>
    <row r="539" spans="2:11" ht="13.8" thickBot="1" x14ac:dyDescent="0.3">
      <c r="B539" s="504"/>
      <c r="C539" s="386"/>
      <c r="D539" s="386"/>
      <c r="E539" s="386"/>
      <c r="F539" s="434"/>
      <c r="G539" s="435"/>
      <c r="H539" s="305"/>
      <c r="I539" s="336"/>
      <c r="J539" s="336"/>
      <c r="K539" s="481"/>
    </row>
    <row r="540" spans="2:11" ht="13.8" thickBot="1" x14ac:dyDescent="0.3">
      <c r="B540" s="298" t="s">
        <v>346</v>
      </c>
      <c r="C540" s="389"/>
      <c r="D540" s="389"/>
      <c r="E540" s="389"/>
      <c r="F540" s="390"/>
      <c r="G540" s="390"/>
      <c r="H540" s="391"/>
      <c r="I540" s="391"/>
      <c r="J540" s="393" t="s">
        <v>16</v>
      </c>
      <c r="K540" s="393">
        <v>30</v>
      </c>
    </row>
    <row r="541" spans="2:11" ht="13.8" thickBot="1" x14ac:dyDescent="0.3">
      <c r="B541" s="427" t="s">
        <v>349</v>
      </c>
      <c r="C541" s="389">
        <v>15.64</v>
      </c>
      <c r="D541" s="389">
        <v>0.05</v>
      </c>
      <c r="E541" s="389">
        <v>0.05</v>
      </c>
      <c r="F541" s="390">
        <v>30</v>
      </c>
      <c r="G541" s="390">
        <f>F541*E541*D541*C541</f>
        <v>1.1730000000000003</v>
      </c>
      <c r="H541" s="391"/>
      <c r="I541" s="391"/>
      <c r="J541" s="391"/>
      <c r="K541" s="393"/>
    </row>
    <row r="542" spans="2:11" ht="13.8" thickBot="1" x14ac:dyDescent="0.3">
      <c r="B542" s="427"/>
      <c r="C542" s="389"/>
      <c r="D542" s="389"/>
      <c r="E542" s="389"/>
      <c r="F542" s="390"/>
      <c r="G542" s="390"/>
      <c r="H542" s="391"/>
      <c r="I542" s="391"/>
      <c r="J542" s="391"/>
      <c r="K542" s="393"/>
    </row>
    <row r="543" spans="2:11" ht="13.8" thickBot="1" x14ac:dyDescent="0.3">
      <c r="B543" s="427"/>
      <c r="C543" s="389"/>
      <c r="D543" s="389"/>
      <c r="E543" s="389"/>
      <c r="F543" s="390"/>
      <c r="G543" s="390"/>
      <c r="H543" s="391"/>
      <c r="I543" s="391"/>
      <c r="J543" s="391"/>
      <c r="K543" s="393"/>
    </row>
    <row r="544" spans="2:11" ht="13.8" thickBot="1" x14ac:dyDescent="0.3">
      <c r="B544" s="347" t="s">
        <v>351</v>
      </c>
      <c r="C544" s="386"/>
      <c r="D544" s="386"/>
      <c r="E544" s="386"/>
      <c r="F544" s="434"/>
      <c r="G544" s="435">
        <f>SUM(G541:G543)</f>
        <v>1.1730000000000003</v>
      </c>
      <c r="H544" s="306"/>
      <c r="I544" s="306"/>
      <c r="J544" s="183" t="s">
        <v>29</v>
      </c>
      <c r="K544" s="183"/>
    </row>
  </sheetData>
  <mergeCells count="6">
    <mergeCell ref="B9:B10"/>
    <mergeCell ref="L9:L10"/>
    <mergeCell ref="M9:M10"/>
    <mergeCell ref="B115:B116"/>
    <mergeCell ref="L115:L116"/>
    <mergeCell ref="M115:M116"/>
  </mergeCells>
  <dataValidations disablePrompts="1" count="1">
    <dataValidation type="list" allowBlank="1" showInputMessage="1" showErrorMessage="1" sqref="H12 H9:H10 H118 H115:H116" xr:uid="{5E52C4EB-F145-46C6-8B85-2967553306B3}">
      <formula1>"G,T,E,O"</formula1>
    </dataValidation>
  </dataValidations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6DDB-D4B2-4FEB-BD3B-61A5BFDC44F8}">
  <dimension ref="A1:K109"/>
  <sheetViews>
    <sheetView topLeftCell="A93" workbookViewId="0">
      <selection activeCell="F118" sqref="F118"/>
    </sheetView>
  </sheetViews>
  <sheetFormatPr defaultRowHeight="13.2" x14ac:dyDescent="0.25"/>
  <cols>
    <col min="2" max="2" width="28.77734375" customWidth="1"/>
    <col min="3" max="5" width="14.77734375" customWidth="1"/>
  </cols>
  <sheetData>
    <row r="1" spans="1:11" ht="14.4" x14ac:dyDescent="0.25">
      <c r="A1" s="13" t="s">
        <v>17</v>
      </c>
      <c r="B1" s="100" t="s">
        <v>85</v>
      </c>
      <c r="C1" s="22"/>
    </row>
    <row r="2" spans="1:11" ht="14.4" x14ac:dyDescent="0.25">
      <c r="A2" s="13" t="s">
        <v>18</v>
      </c>
      <c r="B2" s="100" t="s">
        <v>19</v>
      </c>
      <c r="C2" s="22"/>
    </row>
    <row r="3" spans="1:11" ht="14.4" x14ac:dyDescent="0.25">
      <c r="B3" s="15" t="s">
        <v>39</v>
      </c>
      <c r="C3" s="16"/>
    </row>
    <row r="5" spans="1:11" ht="14.4" x14ac:dyDescent="0.25">
      <c r="B5" s="15" t="s">
        <v>268</v>
      </c>
      <c r="C5" s="16"/>
    </row>
    <row r="6" spans="1:11" ht="14.4" x14ac:dyDescent="0.25">
      <c r="B6" s="570" t="s">
        <v>1</v>
      </c>
      <c r="C6" s="12" t="s">
        <v>5</v>
      </c>
      <c r="D6" s="9" t="s">
        <v>38</v>
      </c>
      <c r="E6" s="9" t="s">
        <v>6</v>
      </c>
      <c r="F6" s="12" t="s">
        <v>5</v>
      </c>
      <c r="G6" s="11" t="s">
        <v>13</v>
      </c>
      <c r="H6" s="11" t="s">
        <v>26</v>
      </c>
      <c r="I6" s="12" t="s">
        <v>14</v>
      </c>
      <c r="J6" s="570" t="s">
        <v>7</v>
      </c>
      <c r="K6" s="572" t="s">
        <v>8</v>
      </c>
    </row>
    <row r="7" spans="1:11" ht="14.4" x14ac:dyDescent="0.3">
      <c r="B7" s="571"/>
      <c r="C7" s="20" t="s">
        <v>11</v>
      </c>
      <c r="D7" s="19" t="s">
        <v>10</v>
      </c>
      <c r="E7" s="18" t="s">
        <v>9</v>
      </c>
      <c r="F7" s="20" t="s">
        <v>11</v>
      </c>
      <c r="G7" s="21" t="s">
        <v>11</v>
      </c>
      <c r="H7" s="21" t="s">
        <v>27</v>
      </c>
      <c r="I7" s="20" t="s">
        <v>15</v>
      </c>
      <c r="J7" s="571"/>
      <c r="K7" s="573"/>
    </row>
    <row r="8" spans="1:11" ht="15.6" x14ac:dyDescent="0.25">
      <c r="B8" s="23" t="s">
        <v>269</v>
      </c>
      <c r="C8" s="24"/>
      <c r="D8" s="26"/>
      <c r="E8" s="27"/>
      <c r="F8" s="28"/>
      <c r="G8" s="28"/>
      <c r="H8" s="28"/>
      <c r="I8" s="28"/>
      <c r="J8" s="29"/>
      <c r="K8" s="30"/>
    </row>
    <row r="9" spans="1:11" ht="15" thickBot="1" x14ac:dyDescent="0.35">
      <c r="B9" s="43"/>
      <c r="C9" s="44"/>
      <c r="D9" s="45"/>
      <c r="E9" s="44"/>
      <c r="F9" s="46"/>
      <c r="G9" s="47"/>
      <c r="H9" s="47"/>
      <c r="I9" s="46"/>
      <c r="J9" s="46"/>
      <c r="K9" s="48"/>
    </row>
    <row r="10" spans="1:11" ht="14.4" x14ac:dyDescent="0.25">
      <c r="B10" s="148" t="s">
        <v>270</v>
      </c>
      <c r="C10" s="149">
        <v>9.32</v>
      </c>
      <c r="D10" s="150">
        <v>0.1</v>
      </c>
      <c r="E10" s="152">
        <v>1</v>
      </c>
      <c r="F10" s="153"/>
      <c r="G10" s="154"/>
      <c r="H10" s="71">
        <f>E10*D10*C10</f>
        <v>0.93200000000000005</v>
      </c>
      <c r="I10" s="153"/>
      <c r="J10" s="155" t="s">
        <v>29</v>
      </c>
      <c r="K10" s="156">
        <f>H10</f>
        <v>0.93200000000000005</v>
      </c>
    </row>
    <row r="11" spans="1:11" ht="14.4" x14ac:dyDescent="0.25">
      <c r="B11" s="74" t="s">
        <v>271</v>
      </c>
      <c r="C11" s="7">
        <v>9.65</v>
      </c>
      <c r="D11" s="31">
        <v>0.1</v>
      </c>
      <c r="E11" s="32">
        <v>1</v>
      </c>
      <c r="F11" s="33"/>
      <c r="G11" s="34"/>
      <c r="H11" s="34">
        <f>E11*D11*C11</f>
        <v>0.96500000000000008</v>
      </c>
      <c r="I11" s="144"/>
      <c r="J11" s="146" t="s">
        <v>29</v>
      </c>
      <c r="K11" s="157">
        <f t="shared" ref="K11" si="0">H11</f>
        <v>0.96500000000000008</v>
      </c>
    </row>
    <row r="12" spans="1:11" ht="14.4" x14ac:dyDescent="0.25">
      <c r="B12" s="137" t="s">
        <v>272</v>
      </c>
      <c r="C12" s="8">
        <v>32.46</v>
      </c>
      <c r="D12" s="31">
        <v>0.05</v>
      </c>
      <c r="E12" s="38">
        <v>1</v>
      </c>
      <c r="F12" s="39"/>
      <c r="G12" s="40"/>
      <c r="H12" s="34">
        <f t="shared" ref="H12:H73" si="1">E12*D12*C12</f>
        <v>1.6230000000000002</v>
      </c>
      <c r="I12" s="144"/>
      <c r="J12" s="146" t="s">
        <v>29</v>
      </c>
      <c r="K12" s="157">
        <f t="shared" ref="K12:K73" si="2">H12</f>
        <v>1.6230000000000002</v>
      </c>
    </row>
    <row r="13" spans="1:11" ht="14.4" x14ac:dyDescent="0.25">
      <c r="B13" s="137" t="s">
        <v>273</v>
      </c>
      <c r="C13" s="8">
        <v>30.86</v>
      </c>
      <c r="D13" s="31">
        <v>0.1</v>
      </c>
      <c r="E13" s="38">
        <v>1</v>
      </c>
      <c r="F13" s="39"/>
      <c r="G13" s="40"/>
      <c r="H13" s="34">
        <f t="shared" si="1"/>
        <v>3.0860000000000003</v>
      </c>
      <c r="I13" s="144"/>
      <c r="J13" s="146" t="s">
        <v>29</v>
      </c>
      <c r="K13" s="157">
        <f t="shared" si="2"/>
        <v>3.0860000000000003</v>
      </c>
    </row>
    <row r="14" spans="1:11" ht="14.4" x14ac:dyDescent="0.25">
      <c r="B14" s="137" t="s">
        <v>274</v>
      </c>
      <c r="C14" s="8">
        <v>79.069999999999993</v>
      </c>
      <c r="D14" s="31">
        <v>0.1</v>
      </c>
      <c r="E14" s="38">
        <v>1</v>
      </c>
      <c r="F14" s="39"/>
      <c r="G14" s="40"/>
      <c r="H14" s="34">
        <f t="shared" si="1"/>
        <v>7.907</v>
      </c>
      <c r="I14" s="144"/>
      <c r="J14" s="146" t="s">
        <v>29</v>
      </c>
      <c r="K14" s="157">
        <f t="shared" si="2"/>
        <v>7.907</v>
      </c>
    </row>
    <row r="15" spans="1:11" ht="14.4" x14ac:dyDescent="0.25">
      <c r="B15" s="137" t="s">
        <v>275</v>
      </c>
      <c r="C15" s="8">
        <v>13.09</v>
      </c>
      <c r="D15" s="31">
        <v>0.1</v>
      </c>
      <c r="E15" s="38">
        <v>1</v>
      </c>
      <c r="F15" s="39"/>
      <c r="G15" s="40"/>
      <c r="H15" s="34">
        <f t="shared" si="1"/>
        <v>1.3090000000000002</v>
      </c>
      <c r="I15" s="144"/>
      <c r="J15" s="146" t="s">
        <v>29</v>
      </c>
      <c r="K15" s="157">
        <f t="shared" si="2"/>
        <v>1.3090000000000002</v>
      </c>
    </row>
    <row r="16" spans="1:11" ht="14.4" x14ac:dyDescent="0.25">
      <c r="B16" s="137" t="s">
        <v>276</v>
      </c>
      <c r="C16" s="8">
        <v>9.81</v>
      </c>
      <c r="D16" s="31">
        <v>0.1</v>
      </c>
      <c r="E16" s="38">
        <v>1</v>
      </c>
      <c r="F16" s="39"/>
      <c r="G16" s="40"/>
      <c r="H16" s="34">
        <f t="shared" si="1"/>
        <v>0.98100000000000009</v>
      </c>
      <c r="I16" s="144"/>
      <c r="J16" s="146" t="s">
        <v>29</v>
      </c>
      <c r="K16" s="157">
        <f t="shared" si="2"/>
        <v>0.98100000000000009</v>
      </c>
    </row>
    <row r="17" spans="2:11" ht="14.4" x14ac:dyDescent="0.25">
      <c r="B17" s="137" t="s">
        <v>277</v>
      </c>
      <c r="C17" s="8">
        <v>4.5199999999999996</v>
      </c>
      <c r="D17" s="31">
        <v>0.1</v>
      </c>
      <c r="E17" s="38">
        <v>1</v>
      </c>
      <c r="F17" s="39"/>
      <c r="G17" s="40"/>
      <c r="H17" s="34">
        <f t="shared" si="1"/>
        <v>0.45199999999999996</v>
      </c>
      <c r="I17" s="144"/>
      <c r="J17" s="146" t="s">
        <v>29</v>
      </c>
      <c r="K17" s="157">
        <f t="shared" si="2"/>
        <v>0.45199999999999996</v>
      </c>
    </row>
    <row r="18" spans="2:11" ht="14.4" x14ac:dyDescent="0.25">
      <c r="B18" s="137" t="s">
        <v>278</v>
      </c>
      <c r="C18" s="8">
        <v>3.51</v>
      </c>
      <c r="D18" s="31">
        <v>0.1</v>
      </c>
      <c r="E18" s="38">
        <v>1</v>
      </c>
      <c r="F18" s="39"/>
      <c r="G18" s="40"/>
      <c r="H18" s="34">
        <f t="shared" si="1"/>
        <v>0.35099999999999998</v>
      </c>
      <c r="I18" s="144"/>
      <c r="J18" s="146" t="s">
        <v>29</v>
      </c>
      <c r="K18" s="157">
        <f t="shared" si="2"/>
        <v>0.35099999999999998</v>
      </c>
    </row>
    <row r="19" spans="2:11" ht="14.4" x14ac:dyDescent="0.25">
      <c r="B19" s="137" t="s">
        <v>279</v>
      </c>
      <c r="C19" s="8">
        <v>31.19</v>
      </c>
      <c r="D19" s="31">
        <v>0.1</v>
      </c>
      <c r="E19" s="38">
        <v>1</v>
      </c>
      <c r="F19" s="39"/>
      <c r="G19" s="40"/>
      <c r="H19" s="34">
        <f t="shared" si="1"/>
        <v>3.1190000000000002</v>
      </c>
      <c r="I19" s="144"/>
      <c r="J19" s="146" t="s">
        <v>29</v>
      </c>
      <c r="K19" s="157">
        <f t="shared" si="2"/>
        <v>3.1190000000000002</v>
      </c>
    </row>
    <row r="20" spans="2:11" ht="14.4" x14ac:dyDescent="0.25">
      <c r="B20" s="137" t="s">
        <v>280</v>
      </c>
      <c r="C20" s="8">
        <f>8.59*4.76</f>
        <v>40.888399999999997</v>
      </c>
      <c r="D20" s="31">
        <v>0.1</v>
      </c>
      <c r="E20" s="38">
        <v>1</v>
      </c>
      <c r="F20" s="39"/>
      <c r="G20" s="40"/>
      <c r="H20" s="34">
        <f t="shared" si="1"/>
        <v>4.0888400000000003</v>
      </c>
      <c r="I20" s="144"/>
      <c r="J20" s="146" t="s">
        <v>29</v>
      </c>
      <c r="K20" s="157">
        <f t="shared" si="2"/>
        <v>4.0888400000000003</v>
      </c>
    </row>
    <row r="21" spans="2:11" ht="14.4" x14ac:dyDescent="0.25">
      <c r="B21" s="137" t="s">
        <v>281</v>
      </c>
      <c r="C21" s="8">
        <v>38.08</v>
      </c>
      <c r="D21" s="31">
        <v>0.1</v>
      </c>
      <c r="E21" s="38">
        <v>1</v>
      </c>
      <c r="F21" s="39"/>
      <c r="G21" s="40"/>
      <c r="H21" s="34">
        <f t="shared" si="1"/>
        <v>3.8079999999999998</v>
      </c>
      <c r="I21" s="144"/>
      <c r="J21" s="146" t="s">
        <v>29</v>
      </c>
      <c r="K21" s="157">
        <f t="shared" si="2"/>
        <v>3.8079999999999998</v>
      </c>
    </row>
    <row r="22" spans="2:11" ht="14.4" x14ac:dyDescent="0.25">
      <c r="B22" s="137" t="s">
        <v>282</v>
      </c>
      <c r="C22" s="8">
        <v>3.59</v>
      </c>
      <c r="D22" s="31">
        <v>0.1</v>
      </c>
      <c r="E22" s="38">
        <v>1</v>
      </c>
      <c r="F22" s="39"/>
      <c r="G22" s="40"/>
      <c r="H22" s="34">
        <f t="shared" si="1"/>
        <v>0.35899999999999999</v>
      </c>
      <c r="I22" s="144"/>
      <c r="J22" s="146" t="s">
        <v>29</v>
      </c>
      <c r="K22" s="157">
        <f t="shared" si="2"/>
        <v>0.35899999999999999</v>
      </c>
    </row>
    <row r="23" spans="2:11" ht="14.4" x14ac:dyDescent="0.25">
      <c r="B23" s="137" t="s">
        <v>283</v>
      </c>
      <c r="C23" s="8">
        <v>3.59</v>
      </c>
      <c r="D23" s="31">
        <v>0.1</v>
      </c>
      <c r="E23" s="38">
        <v>1</v>
      </c>
      <c r="F23" s="39"/>
      <c r="G23" s="40"/>
      <c r="H23" s="34">
        <f t="shared" si="1"/>
        <v>0.35899999999999999</v>
      </c>
      <c r="I23" s="144"/>
      <c r="J23" s="146" t="s">
        <v>29</v>
      </c>
      <c r="K23" s="157">
        <f t="shared" si="2"/>
        <v>0.35899999999999999</v>
      </c>
    </row>
    <row r="24" spans="2:11" ht="14.4" x14ac:dyDescent="0.25">
      <c r="B24" s="137" t="s">
        <v>284</v>
      </c>
      <c r="C24" s="8">
        <v>5.69</v>
      </c>
      <c r="D24" s="31">
        <v>0.1</v>
      </c>
      <c r="E24" s="38">
        <v>1</v>
      </c>
      <c r="F24" s="39"/>
      <c r="G24" s="40"/>
      <c r="H24" s="34">
        <f t="shared" si="1"/>
        <v>0.56900000000000006</v>
      </c>
      <c r="I24" s="144"/>
      <c r="J24" s="146" t="s">
        <v>29</v>
      </c>
      <c r="K24" s="157">
        <f t="shared" si="2"/>
        <v>0.56900000000000006</v>
      </c>
    </row>
    <row r="25" spans="2:11" ht="14.4" x14ac:dyDescent="0.25">
      <c r="B25" s="137" t="s">
        <v>281</v>
      </c>
      <c r="C25" s="8">
        <v>23.53</v>
      </c>
      <c r="D25" s="31">
        <v>0.1</v>
      </c>
      <c r="E25" s="38">
        <v>1</v>
      </c>
      <c r="F25" s="39"/>
      <c r="G25" s="40"/>
      <c r="H25" s="34">
        <f t="shared" si="1"/>
        <v>2.3530000000000002</v>
      </c>
      <c r="I25" s="144"/>
      <c r="J25" s="146" t="s">
        <v>29</v>
      </c>
      <c r="K25" s="157">
        <f t="shared" si="2"/>
        <v>2.3530000000000002</v>
      </c>
    </row>
    <row r="26" spans="2:11" ht="14.4" x14ac:dyDescent="0.25">
      <c r="B26" s="137" t="s">
        <v>285</v>
      </c>
      <c r="C26" s="8">
        <v>34.93</v>
      </c>
      <c r="D26" s="31">
        <v>0.1</v>
      </c>
      <c r="E26" s="38">
        <v>1</v>
      </c>
      <c r="F26" s="39"/>
      <c r="G26" s="40"/>
      <c r="H26" s="34">
        <f t="shared" si="1"/>
        <v>3.4930000000000003</v>
      </c>
      <c r="I26" s="144"/>
      <c r="J26" s="146" t="s">
        <v>29</v>
      </c>
      <c r="K26" s="157">
        <f t="shared" si="2"/>
        <v>3.4930000000000003</v>
      </c>
    </row>
    <row r="27" spans="2:11" ht="14.4" x14ac:dyDescent="0.25">
      <c r="B27" s="137" t="s">
        <v>286</v>
      </c>
      <c r="C27" s="8">
        <v>2.84</v>
      </c>
      <c r="D27" s="31">
        <v>0.1</v>
      </c>
      <c r="E27" s="38">
        <v>1</v>
      </c>
      <c r="F27" s="39"/>
      <c r="G27" s="40"/>
      <c r="H27" s="34">
        <f t="shared" si="1"/>
        <v>0.28399999999999997</v>
      </c>
      <c r="I27" s="144"/>
      <c r="J27" s="146" t="s">
        <v>29</v>
      </c>
      <c r="K27" s="157">
        <f t="shared" si="2"/>
        <v>0.28399999999999997</v>
      </c>
    </row>
    <row r="28" spans="2:11" ht="14.4" x14ac:dyDescent="0.25">
      <c r="B28" s="137" t="s">
        <v>287</v>
      </c>
      <c r="C28" s="8">
        <v>8.2799999999999994</v>
      </c>
      <c r="D28" s="31">
        <v>0.1</v>
      </c>
      <c r="E28" s="38">
        <v>1</v>
      </c>
      <c r="F28" s="39"/>
      <c r="G28" s="40"/>
      <c r="H28" s="34">
        <f t="shared" si="1"/>
        <v>0.82799999999999996</v>
      </c>
      <c r="I28" s="144"/>
      <c r="J28" s="146" t="s">
        <v>29</v>
      </c>
      <c r="K28" s="157">
        <f t="shared" si="2"/>
        <v>0.82799999999999996</v>
      </c>
    </row>
    <row r="29" spans="2:11" ht="14.4" x14ac:dyDescent="0.25">
      <c r="B29" s="137" t="s">
        <v>288</v>
      </c>
      <c r="C29" s="8">
        <v>10.82</v>
      </c>
      <c r="D29" s="31">
        <v>0.1</v>
      </c>
      <c r="E29" s="38">
        <v>1</v>
      </c>
      <c r="F29" s="39"/>
      <c r="G29" s="40"/>
      <c r="H29" s="34">
        <f t="shared" si="1"/>
        <v>1.0820000000000001</v>
      </c>
      <c r="I29" s="144"/>
      <c r="J29" s="146" t="s">
        <v>29</v>
      </c>
      <c r="K29" s="157">
        <f t="shared" si="2"/>
        <v>1.0820000000000001</v>
      </c>
    </row>
    <row r="30" spans="2:11" ht="14.4" x14ac:dyDescent="0.25">
      <c r="B30" s="137" t="s">
        <v>289</v>
      </c>
      <c r="C30" s="8">
        <v>8.1</v>
      </c>
      <c r="D30" s="31">
        <v>0.1</v>
      </c>
      <c r="E30" s="38">
        <v>1</v>
      </c>
      <c r="F30" s="39"/>
      <c r="G30" s="40"/>
      <c r="H30" s="34">
        <f t="shared" si="1"/>
        <v>0.81</v>
      </c>
      <c r="I30" s="144"/>
      <c r="J30" s="146" t="s">
        <v>29</v>
      </c>
      <c r="K30" s="157">
        <f t="shared" si="2"/>
        <v>0.81</v>
      </c>
    </row>
    <row r="31" spans="2:11" ht="14.4" x14ac:dyDescent="0.25">
      <c r="B31" s="137" t="s">
        <v>290</v>
      </c>
      <c r="C31" s="8">
        <v>3.06</v>
      </c>
      <c r="D31" s="31">
        <v>0.1</v>
      </c>
      <c r="E31" s="38">
        <v>1</v>
      </c>
      <c r="F31" s="39"/>
      <c r="G31" s="40"/>
      <c r="H31" s="34">
        <f t="shared" si="1"/>
        <v>0.30600000000000005</v>
      </c>
      <c r="I31" s="144"/>
      <c r="J31" s="146" t="s">
        <v>29</v>
      </c>
      <c r="K31" s="157">
        <f t="shared" si="2"/>
        <v>0.30600000000000005</v>
      </c>
    </row>
    <row r="32" spans="2:11" ht="14.4" x14ac:dyDescent="0.25">
      <c r="B32" s="137" t="s">
        <v>291</v>
      </c>
      <c r="C32" s="8">
        <v>6.67</v>
      </c>
      <c r="D32" s="31">
        <v>0.1</v>
      </c>
      <c r="E32" s="38">
        <v>1</v>
      </c>
      <c r="F32" s="39"/>
      <c r="G32" s="40"/>
      <c r="H32" s="34">
        <f t="shared" si="1"/>
        <v>0.66700000000000004</v>
      </c>
      <c r="I32" s="144"/>
      <c r="J32" s="146" t="s">
        <v>29</v>
      </c>
      <c r="K32" s="157">
        <f t="shared" si="2"/>
        <v>0.66700000000000004</v>
      </c>
    </row>
    <row r="33" spans="2:11" ht="14.4" x14ac:dyDescent="0.25">
      <c r="B33" s="137" t="s">
        <v>292</v>
      </c>
      <c r="C33" s="8">
        <v>1.8</v>
      </c>
      <c r="D33" s="31">
        <v>0.1</v>
      </c>
      <c r="E33" s="38">
        <v>1</v>
      </c>
      <c r="F33" s="39"/>
      <c r="G33" s="40"/>
      <c r="H33" s="34">
        <f t="shared" si="1"/>
        <v>0.18000000000000002</v>
      </c>
      <c r="I33" s="144"/>
      <c r="J33" s="146" t="s">
        <v>29</v>
      </c>
      <c r="K33" s="157">
        <f t="shared" si="2"/>
        <v>0.18000000000000002</v>
      </c>
    </row>
    <row r="34" spans="2:11" ht="14.4" x14ac:dyDescent="0.25">
      <c r="B34" s="137" t="s">
        <v>293</v>
      </c>
      <c r="C34" s="8">
        <v>10.57</v>
      </c>
      <c r="D34" s="31">
        <v>0.1</v>
      </c>
      <c r="E34" s="38">
        <v>1</v>
      </c>
      <c r="F34" s="39"/>
      <c r="G34" s="40"/>
      <c r="H34" s="34">
        <f t="shared" si="1"/>
        <v>1.0570000000000002</v>
      </c>
      <c r="I34" s="144"/>
      <c r="J34" s="146" t="s">
        <v>29</v>
      </c>
      <c r="K34" s="157">
        <f t="shared" si="2"/>
        <v>1.0570000000000002</v>
      </c>
    </row>
    <row r="35" spans="2:11" ht="14.4" x14ac:dyDescent="0.25">
      <c r="B35" s="137" t="s">
        <v>294</v>
      </c>
      <c r="C35" s="8">
        <v>10.57</v>
      </c>
      <c r="D35" s="31">
        <v>0.1</v>
      </c>
      <c r="E35" s="38">
        <v>1</v>
      </c>
      <c r="F35" s="39"/>
      <c r="G35" s="40"/>
      <c r="H35" s="34">
        <f t="shared" si="1"/>
        <v>1.0570000000000002</v>
      </c>
      <c r="I35" s="144"/>
      <c r="J35" s="146" t="s">
        <v>29</v>
      </c>
      <c r="K35" s="157">
        <f t="shared" si="2"/>
        <v>1.0570000000000002</v>
      </c>
    </row>
    <row r="36" spans="2:11" ht="14.4" x14ac:dyDescent="0.25">
      <c r="B36" s="137" t="s">
        <v>288</v>
      </c>
      <c r="C36" s="8">
        <v>9.02</v>
      </c>
      <c r="D36" s="31">
        <v>0.1</v>
      </c>
      <c r="E36" s="38">
        <v>1</v>
      </c>
      <c r="F36" s="39"/>
      <c r="G36" s="40"/>
      <c r="H36" s="34">
        <f t="shared" si="1"/>
        <v>0.90200000000000002</v>
      </c>
      <c r="I36" s="144"/>
      <c r="J36" s="146" t="s">
        <v>29</v>
      </c>
      <c r="K36" s="157">
        <f t="shared" si="2"/>
        <v>0.90200000000000002</v>
      </c>
    </row>
    <row r="37" spans="2:11" ht="14.4" x14ac:dyDescent="0.25">
      <c r="B37" s="137" t="s">
        <v>295</v>
      </c>
      <c r="C37" s="8">
        <v>3.57</v>
      </c>
      <c r="D37" s="31">
        <v>0.1</v>
      </c>
      <c r="E37" s="38">
        <v>1</v>
      </c>
      <c r="F37" s="39"/>
      <c r="G37" s="40"/>
      <c r="H37" s="34">
        <f t="shared" si="1"/>
        <v>0.35699999999999998</v>
      </c>
      <c r="I37" s="144"/>
      <c r="J37" s="146" t="s">
        <v>29</v>
      </c>
      <c r="K37" s="157">
        <f t="shared" si="2"/>
        <v>0.35699999999999998</v>
      </c>
    </row>
    <row r="38" spans="2:11" ht="14.4" x14ac:dyDescent="0.25">
      <c r="B38" s="137" t="s">
        <v>296</v>
      </c>
      <c r="C38" s="8">
        <v>5.52</v>
      </c>
      <c r="D38" s="31">
        <v>0.1</v>
      </c>
      <c r="E38" s="38">
        <v>1</v>
      </c>
      <c r="F38" s="39"/>
      <c r="G38" s="40"/>
      <c r="H38" s="34">
        <f t="shared" si="1"/>
        <v>0.55199999999999994</v>
      </c>
      <c r="I38" s="144"/>
      <c r="J38" s="146" t="s">
        <v>29</v>
      </c>
      <c r="K38" s="157">
        <f t="shared" si="2"/>
        <v>0.55199999999999994</v>
      </c>
    </row>
    <row r="39" spans="2:11" ht="14.4" x14ac:dyDescent="0.25">
      <c r="B39" s="137" t="s">
        <v>297</v>
      </c>
      <c r="C39" s="8">
        <v>6.06</v>
      </c>
      <c r="D39" s="31">
        <v>0.1</v>
      </c>
      <c r="E39" s="38">
        <v>1</v>
      </c>
      <c r="F39" s="39"/>
      <c r="G39" s="40"/>
      <c r="H39" s="34">
        <f t="shared" si="1"/>
        <v>0.60599999999999998</v>
      </c>
      <c r="I39" s="144"/>
      <c r="J39" s="146" t="s">
        <v>29</v>
      </c>
      <c r="K39" s="157">
        <f t="shared" si="2"/>
        <v>0.60599999999999998</v>
      </c>
    </row>
    <row r="40" spans="2:11" ht="14.4" x14ac:dyDescent="0.25">
      <c r="B40" s="137" t="s">
        <v>298</v>
      </c>
      <c r="C40" s="8">
        <v>10.89</v>
      </c>
      <c r="D40" s="31">
        <v>0.1</v>
      </c>
      <c r="E40" s="38">
        <v>1</v>
      </c>
      <c r="F40" s="39"/>
      <c r="G40" s="40"/>
      <c r="H40" s="34">
        <f t="shared" si="1"/>
        <v>1.0890000000000002</v>
      </c>
      <c r="I40" s="144"/>
      <c r="J40" s="146" t="s">
        <v>29</v>
      </c>
      <c r="K40" s="157">
        <f t="shared" si="2"/>
        <v>1.0890000000000002</v>
      </c>
    </row>
    <row r="41" spans="2:11" ht="14.4" x14ac:dyDescent="0.25">
      <c r="B41" s="137" t="s">
        <v>281</v>
      </c>
      <c r="C41" s="8">
        <v>16.03</v>
      </c>
      <c r="D41" s="31">
        <v>0.1</v>
      </c>
      <c r="E41" s="38">
        <v>1</v>
      </c>
      <c r="F41" s="39"/>
      <c r="G41" s="40"/>
      <c r="H41" s="34">
        <f t="shared" si="1"/>
        <v>1.6030000000000002</v>
      </c>
      <c r="I41" s="144"/>
      <c r="J41" s="146" t="s">
        <v>29</v>
      </c>
      <c r="K41" s="157">
        <f t="shared" si="2"/>
        <v>1.6030000000000002</v>
      </c>
    </row>
    <row r="42" spans="2:11" ht="14.4" x14ac:dyDescent="0.25">
      <c r="B42" s="137" t="s">
        <v>281</v>
      </c>
      <c r="C42" s="8">
        <v>62.7</v>
      </c>
      <c r="D42" s="31">
        <v>0.1</v>
      </c>
      <c r="E42" s="38">
        <v>1</v>
      </c>
      <c r="F42" s="39"/>
      <c r="G42" s="40"/>
      <c r="H42" s="34">
        <f t="shared" si="1"/>
        <v>6.2700000000000005</v>
      </c>
      <c r="I42" s="144"/>
      <c r="J42" s="146" t="s">
        <v>29</v>
      </c>
      <c r="K42" s="157">
        <f t="shared" si="2"/>
        <v>6.2700000000000005</v>
      </c>
    </row>
    <row r="43" spans="2:11" ht="14.4" x14ac:dyDescent="0.25">
      <c r="B43" s="137" t="s">
        <v>299</v>
      </c>
      <c r="C43" s="8">
        <v>11.32</v>
      </c>
      <c r="D43" s="31">
        <v>0.1</v>
      </c>
      <c r="E43" s="38">
        <v>1</v>
      </c>
      <c r="F43" s="39"/>
      <c r="G43" s="40"/>
      <c r="H43" s="34">
        <f t="shared" si="1"/>
        <v>1.1320000000000001</v>
      </c>
      <c r="I43" s="144"/>
      <c r="J43" s="146" t="s">
        <v>29</v>
      </c>
      <c r="K43" s="157">
        <f t="shared" si="2"/>
        <v>1.1320000000000001</v>
      </c>
    </row>
    <row r="44" spans="2:11" ht="14.4" x14ac:dyDescent="0.25">
      <c r="B44" s="137" t="s">
        <v>300</v>
      </c>
      <c r="C44" s="8">
        <v>15.88</v>
      </c>
      <c r="D44" s="31">
        <v>0.1</v>
      </c>
      <c r="E44" s="38">
        <v>1</v>
      </c>
      <c r="F44" s="39"/>
      <c r="G44" s="40"/>
      <c r="H44" s="34">
        <f t="shared" si="1"/>
        <v>1.5880000000000001</v>
      </c>
      <c r="I44" s="144"/>
      <c r="J44" s="146" t="s">
        <v>29</v>
      </c>
      <c r="K44" s="157">
        <f t="shared" si="2"/>
        <v>1.5880000000000001</v>
      </c>
    </row>
    <row r="45" spans="2:11" ht="14.4" x14ac:dyDescent="0.25">
      <c r="B45" s="137" t="s">
        <v>301</v>
      </c>
      <c r="C45" s="8">
        <v>6.07</v>
      </c>
      <c r="D45" s="31">
        <v>0.1</v>
      </c>
      <c r="E45" s="38">
        <v>1</v>
      </c>
      <c r="F45" s="39"/>
      <c r="G45" s="40"/>
      <c r="H45" s="34">
        <f t="shared" si="1"/>
        <v>0.6070000000000001</v>
      </c>
      <c r="I45" s="144"/>
      <c r="J45" s="146" t="s">
        <v>29</v>
      </c>
      <c r="K45" s="157">
        <f t="shared" si="2"/>
        <v>0.6070000000000001</v>
      </c>
    </row>
    <row r="46" spans="2:11" ht="14.4" x14ac:dyDescent="0.25">
      <c r="B46" s="137" t="s">
        <v>302</v>
      </c>
      <c r="C46" s="8">
        <v>3.82</v>
      </c>
      <c r="D46" s="31">
        <v>0.1</v>
      </c>
      <c r="E46" s="38">
        <v>1</v>
      </c>
      <c r="F46" s="39"/>
      <c r="G46" s="40"/>
      <c r="H46" s="34">
        <f t="shared" si="1"/>
        <v>0.38200000000000001</v>
      </c>
      <c r="I46" s="144"/>
      <c r="J46" s="146" t="s">
        <v>29</v>
      </c>
      <c r="K46" s="157">
        <f t="shared" si="2"/>
        <v>0.38200000000000001</v>
      </c>
    </row>
    <row r="47" spans="2:11" ht="14.4" x14ac:dyDescent="0.25">
      <c r="B47" s="137" t="s">
        <v>303</v>
      </c>
      <c r="C47" s="8">
        <v>4.2699999999999996</v>
      </c>
      <c r="D47" s="31">
        <v>0.1</v>
      </c>
      <c r="E47" s="38">
        <v>1</v>
      </c>
      <c r="F47" s="39"/>
      <c r="G47" s="40"/>
      <c r="H47" s="34">
        <f t="shared" si="1"/>
        <v>0.42699999999999999</v>
      </c>
      <c r="I47" s="144"/>
      <c r="J47" s="146" t="s">
        <v>29</v>
      </c>
      <c r="K47" s="157">
        <f t="shared" si="2"/>
        <v>0.42699999999999999</v>
      </c>
    </row>
    <row r="48" spans="2:11" ht="14.4" x14ac:dyDescent="0.25">
      <c r="B48" s="137" t="s">
        <v>304</v>
      </c>
      <c r="C48" s="8">
        <v>5.46</v>
      </c>
      <c r="D48" s="31">
        <v>0.1</v>
      </c>
      <c r="E48" s="38">
        <v>1</v>
      </c>
      <c r="F48" s="39"/>
      <c r="G48" s="40"/>
      <c r="H48" s="34">
        <f t="shared" si="1"/>
        <v>0.54600000000000004</v>
      </c>
      <c r="I48" s="144"/>
      <c r="J48" s="146" t="s">
        <v>29</v>
      </c>
      <c r="K48" s="157">
        <f t="shared" si="2"/>
        <v>0.54600000000000004</v>
      </c>
    </row>
    <row r="49" spans="2:11" ht="14.4" x14ac:dyDescent="0.25">
      <c r="B49" s="137" t="s">
        <v>305</v>
      </c>
      <c r="C49" s="8">
        <v>5.4</v>
      </c>
      <c r="D49" s="31">
        <v>0.1</v>
      </c>
      <c r="E49" s="38">
        <v>1</v>
      </c>
      <c r="F49" s="39"/>
      <c r="G49" s="40"/>
      <c r="H49" s="34">
        <f t="shared" si="1"/>
        <v>0.54</v>
      </c>
      <c r="I49" s="144"/>
      <c r="J49" s="146" t="s">
        <v>29</v>
      </c>
      <c r="K49" s="157">
        <f t="shared" si="2"/>
        <v>0.54</v>
      </c>
    </row>
    <row r="50" spans="2:11" ht="14.4" x14ac:dyDescent="0.25">
      <c r="B50" s="137" t="s">
        <v>281</v>
      </c>
      <c r="C50" s="8">
        <v>29.64</v>
      </c>
      <c r="D50" s="31">
        <v>0.1</v>
      </c>
      <c r="E50" s="38">
        <v>1</v>
      </c>
      <c r="F50" s="39"/>
      <c r="G50" s="40"/>
      <c r="H50" s="34">
        <f t="shared" si="1"/>
        <v>2.9640000000000004</v>
      </c>
      <c r="I50" s="144"/>
      <c r="J50" s="146" t="s">
        <v>29</v>
      </c>
      <c r="K50" s="157">
        <f t="shared" si="2"/>
        <v>2.9640000000000004</v>
      </c>
    </row>
    <row r="51" spans="2:11" ht="14.4" x14ac:dyDescent="0.25">
      <c r="B51" s="137" t="s">
        <v>281</v>
      </c>
      <c r="C51" s="8">
        <v>9.1199999999999992</v>
      </c>
      <c r="D51" s="31">
        <v>0.1</v>
      </c>
      <c r="E51" s="38">
        <v>1</v>
      </c>
      <c r="F51" s="39"/>
      <c r="G51" s="40"/>
      <c r="H51" s="34">
        <f t="shared" si="1"/>
        <v>0.91199999999999992</v>
      </c>
      <c r="I51" s="144"/>
      <c r="J51" s="146" t="s">
        <v>29</v>
      </c>
      <c r="K51" s="157">
        <f t="shared" si="2"/>
        <v>0.91199999999999992</v>
      </c>
    </row>
    <row r="52" spans="2:11" ht="14.4" x14ac:dyDescent="0.25">
      <c r="B52" s="137" t="s">
        <v>278</v>
      </c>
      <c r="C52" s="8">
        <v>4.3099999999999996</v>
      </c>
      <c r="D52" s="31">
        <v>0.1</v>
      </c>
      <c r="E52" s="38">
        <v>1</v>
      </c>
      <c r="F52" s="39"/>
      <c r="G52" s="40"/>
      <c r="H52" s="34">
        <f t="shared" si="1"/>
        <v>0.43099999999999999</v>
      </c>
      <c r="I52" s="144"/>
      <c r="J52" s="146" t="s">
        <v>29</v>
      </c>
      <c r="K52" s="157">
        <f t="shared" si="2"/>
        <v>0.43099999999999999</v>
      </c>
    </row>
    <row r="53" spans="2:11" ht="14.4" x14ac:dyDescent="0.25">
      <c r="B53" s="137" t="s">
        <v>306</v>
      </c>
      <c r="C53" s="8">
        <v>2.41</v>
      </c>
      <c r="D53" s="31">
        <v>0.1</v>
      </c>
      <c r="E53" s="38">
        <v>1</v>
      </c>
      <c r="F53" s="39"/>
      <c r="G53" s="40"/>
      <c r="H53" s="34">
        <f t="shared" si="1"/>
        <v>0.24100000000000002</v>
      </c>
      <c r="I53" s="144"/>
      <c r="J53" s="146" t="s">
        <v>29</v>
      </c>
      <c r="K53" s="157">
        <f t="shared" si="2"/>
        <v>0.24100000000000002</v>
      </c>
    </row>
    <row r="54" spans="2:11" ht="14.4" x14ac:dyDescent="0.25">
      <c r="B54" s="137" t="s">
        <v>284</v>
      </c>
      <c r="C54" s="8">
        <v>3.41</v>
      </c>
      <c r="D54" s="31">
        <v>0.1</v>
      </c>
      <c r="E54" s="38">
        <v>1</v>
      </c>
      <c r="F54" s="39"/>
      <c r="G54" s="40"/>
      <c r="H54" s="34">
        <f t="shared" si="1"/>
        <v>0.34100000000000003</v>
      </c>
      <c r="I54" s="144"/>
      <c r="J54" s="146" t="s">
        <v>29</v>
      </c>
      <c r="K54" s="157">
        <f t="shared" si="2"/>
        <v>0.34100000000000003</v>
      </c>
    </row>
    <row r="55" spans="2:11" ht="14.4" x14ac:dyDescent="0.25">
      <c r="B55" s="137" t="s">
        <v>307</v>
      </c>
      <c r="C55" s="8">
        <v>6.39</v>
      </c>
      <c r="D55" s="31">
        <v>0.1</v>
      </c>
      <c r="E55" s="38">
        <v>2</v>
      </c>
      <c r="F55" s="39"/>
      <c r="G55" s="40"/>
      <c r="H55" s="34">
        <f t="shared" si="1"/>
        <v>1.278</v>
      </c>
      <c r="I55" s="144"/>
      <c r="J55" s="146" t="s">
        <v>29</v>
      </c>
      <c r="K55" s="157">
        <f t="shared" si="2"/>
        <v>1.278</v>
      </c>
    </row>
    <row r="56" spans="2:11" ht="14.4" x14ac:dyDescent="0.25">
      <c r="B56" s="137" t="s">
        <v>308</v>
      </c>
      <c r="C56" s="426">
        <v>12</v>
      </c>
      <c r="D56" s="31">
        <v>0.1</v>
      </c>
      <c r="E56" s="38">
        <v>1</v>
      </c>
      <c r="F56" s="39"/>
      <c r="G56" s="40"/>
      <c r="H56" s="34">
        <f t="shared" si="1"/>
        <v>1.2000000000000002</v>
      </c>
      <c r="I56" s="144"/>
      <c r="J56" s="146" t="s">
        <v>29</v>
      </c>
      <c r="K56" s="157">
        <f t="shared" si="2"/>
        <v>1.2000000000000002</v>
      </c>
    </row>
    <row r="57" spans="2:11" ht="14.4" x14ac:dyDescent="0.25">
      <c r="B57" s="137" t="s">
        <v>281</v>
      </c>
      <c r="C57" s="8">
        <v>34.75</v>
      </c>
      <c r="D57" s="31">
        <v>0.1</v>
      </c>
      <c r="E57" s="38">
        <v>1</v>
      </c>
      <c r="F57" s="39"/>
      <c r="G57" s="40"/>
      <c r="H57" s="34">
        <f t="shared" si="1"/>
        <v>3.4750000000000001</v>
      </c>
      <c r="I57" s="144"/>
      <c r="J57" s="146" t="s">
        <v>29</v>
      </c>
      <c r="K57" s="157">
        <f t="shared" si="2"/>
        <v>3.4750000000000001</v>
      </c>
    </row>
    <row r="58" spans="2:11" ht="14.4" x14ac:dyDescent="0.25">
      <c r="B58" s="137" t="s">
        <v>309</v>
      </c>
      <c r="C58" s="8">
        <v>3.24</v>
      </c>
      <c r="D58" s="31">
        <v>0.1</v>
      </c>
      <c r="E58" s="38">
        <v>1</v>
      </c>
      <c r="F58" s="39"/>
      <c r="G58" s="40"/>
      <c r="H58" s="34">
        <f t="shared" si="1"/>
        <v>0.32400000000000007</v>
      </c>
      <c r="I58" s="144"/>
      <c r="J58" s="146" t="s">
        <v>29</v>
      </c>
      <c r="K58" s="157">
        <f t="shared" si="2"/>
        <v>0.32400000000000007</v>
      </c>
    </row>
    <row r="59" spans="2:11" ht="14.4" x14ac:dyDescent="0.25">
      <c r="B59" s="137" t="s">
        <v>310</v>
      </c>
      <c r="C59" s="8">
        <v>39.64</v>
      </c>
      <c r="D59" s="31">
        <v>0.1</v>
      </c>
      <c r="E59" s="38">
        <v>1</v>
      </c>
      <c r="F59" s="39"/>
      <c r="G59" s="40"/>
      <c r="H59" s="34">
        <f t="shared" si="1"/>
        <v>3.9640000000000004</v>
      </c>
      <c r="I59" s="144"/>
      <c r="J59" s="146" t="s">
        <v>29</v>
      </c>
      <c r="K59" s="157">
        <f t="shared" si="2"/>
        <v>3.9640000000000004</v>
      </c>
    </row>
    <row r="60" spans="2:11" ht="14.4" x14ac:dyDescent="0.25">
      <c r="B60" s="137" t="s">
        <v>311</v>
      </c>
      <c r="C60" s="8">
        <v>5.1100000000000003</v>
      </c>
      <c r="D60" s="31">
        <v>0.1</v>
      </c>
      <c r="E60" s="38">
        <v>1</v>
      </c>
      <c r="F60" s="39"/>
      <c r="G60" s="40"/>
      <c r="H60" s="34">
        <f t="shared" si="1"/>
        <v>0.51100000000000001</v>
      </c>
      <c r="I60" s="144"/>
      <c r="J60" s="146" t="s">
        <v>29</v>
      </c>
      <c r="K60" s="157">
        <f t="shared" si="2"/>
        <v>0.51100000000000001</v>
      </c>
    </row>
    <row r="61" spans="2:11" ht="14.4" x14ac:dyDescent="0.25">
      <c r="B61" s="137" t="s">
        <v>312</v>
      </c>
      <c r="C61" s="8">
        <v>3.02</v>
      </c>
      <c r="D61" s="31">
        <v>0.1</v>
      </c>
      <c r="E61" s="38">
        <v>1</v>
      </c>
      <c r="F61" s="39"/>
      <c r="G61" s="40"/>
      <c r="H61" s="34">
        <f t="shared" si="1"/>
        <v>0.30200000000000005</v>
      </c>
      <c r="I61" s="144"/>
      <c r="J61" s="146" t="s">
        <v>29</v>
      </c>
      <c r="K61" s="157">
        <f t="shared" si="2"/>
        <v>0.30200000000000005</v>
      </c>
    </row>
    <row r="62" spans="2:11" ht="14.4" x14ac:dyDescent="0.25">
      <c r="B62" s="137" t="s">
        <v>313</v>
      </c>
      <c r="C62" s="8">
        <v>27.76</v>
      </c>
      <c r="D62" s="31">
        <v>0.1</v>
      </c>
      <c r="E62" s="38">
        <v>1</v>
      </c>
      <c r="F62" s="39"/>
      <c r="G62" s="40"/>
      <c r="H62" s="34">
        <f t="shared" si="1"/>
        <v>2.7760000000000002</v>
      </c>
      <c r="I62" s="144"/>
      <c r="J62" s="146" t="s">
        <v>29</v>
      </c>
      <c r="K62" s="157">
        <f t="shared" si="2"/>
        <v>2.7760000000000002</v>
      </c>
    </row>
    <row r="63" spans="2:11" ht="14.4" x14ac:dyDescent="0.25">
      <c r="B63" s="137" t="s">
        <v>286</v>
      </c>
      <c r="C63" s="8">
        <v>11.93</v>
      </c>
      <c r="D63" s="31">
        <v>0.1</v>
      </c>
      <c r="E63" s="38">
        <v>1</v>
      </c>
      <c r="F63" s="39"/>
      <c r="G63" s="40"/>
      <c r="H63" s="34">
        <f t="shared" si="1"/>
        <v>1.1930000000000001</v>
      </c>
      <c r="I63" s="144"/>
      <c r="J63" s="146" t="s">
        <v>29</v>
      </c>
      <c r="K63" s="157">
        <f t="shared" si="2"/>
        <v>1.1930000000000001</v>
      </c>
    </row>
    <row r="64" spans="2:11" ht="14.4" x14ac:dyDescent="0.25">
      <c r="B64" s="137" t="s">
        <v>314</v>
      </c>
      <c r="C64" s="8">
        <v>4.18</v>
      </c>
      <c r="D64" s="31">
        <v>0.1</v>
      </c>
      <c r="E64" s="38">
        <v>1</v>
      </c>
      <c r="F64" s="39"/>
      <c r="G64" s="40"/>
      <c r="H64" s="34">
        <f t="shared" si="1"/>
        <v>0.41799999999999998</v>
      </c>
      <c r="I64" s="144"/>
      <c r="J64" s="146" t="s">
        <v>29</v>
      </c>
      <c r="K64" s="157">
        <f t="shared" si="2"/>
        <v>0.41799999999999998</v>
      </c>
    </row>
    <row r="65" spans="2:11" ht="14.4" x14ac:dyDescent="0.25">
      <c r="B65" s="137" t="s">
        <v>314</v>
      </c>
      <c r="C65" s="8">
        <v>3.95</v>
      </c>
      <c r="D65" s="31">
        <v>0.1</v>
      </c>
      <c r="E65" s="38">
        <v>1</v>
      </c>
      <c r="F65" s="39"/>
      <c r="G65" s="40"/>
      <c r="H65" s="34">
        <f t="shared" si="1"/>
        <v>0.39500000000000002</v>
      </c>
      <c r="I65" s="144"/>
      <c r="J65" s="146" t="s">
        <v>29</v>
      </c>
      <c r="K65" s="157">
        <f t="shared" si="2"/>
        <v>0.39500000000000002</v>
      </c>
    </row>
    <row r="66" spans="2:11" ht="14.4" x14ac:dyDescent="0.25">
      <c r="B66" s="137" t="s">
        <v>315</v>
      </c>
      <c r="C66" s="8">
        <v>30.52</v>
      </c>
      <c r="D66" s="31">
        <v>0.1</v>
      </c>
      <c r="E66" s="38">
        <v>1</v>
      </c>
      <c r="F66" s="39"/>
      <c r="G66" s="40"/>
      <c r="H66" s="34">
        <f t="shared" si="1"/>
        <v>3.052</v>
      </c>
      <c r="I66" s="144"/>
      <c r="J66" s="146" t="s">
        <v>29</v>
      </c>
      <c r="K66" s="157">
        <f t="shared" si="2"/>
        <v>3.052</v>
      </c>
    </row>
    <row r="67" spans="2:11" ht="14.4" x14ac:dyDescent="0.25">
      <c r="B67" s="137" t="s">
        <v>281</v>
      </c>
      <c r="C67" s="8">
        <v>35.729999999999997</v>
      </c>
      <c r="D67" s="31">
        <v>0.1</v>
      </c>
      <c r="E67" s="38">
        <v>1</v>
      </c>
      <c r="F67" s="39"/>
      <c r="G67" s="40"/>
      <c r="H67" s="34">
        <f t="shared" si="1"/>
        <v>3.573</v>
      </c>
      <c r="I67" s="144"/>
      <c r="J67" s="146" t="s">
        <v>29</v>
      </c>
      <c r="K67" s="157">
        <f t="shared" si="2"/>
        <v>3.573</v>
      </c>
    </row>
    <row r="68" spans="2:11" ht="14.4" x14ac:dyDescent="0.25">
      <c r="B68" s="137" t="s">
        <v>281</v>
      </c>
      <c r="C68" s="8">
        <v>30.96</v>
      </c>
      <c r="D68" s="31">
        <v>0.1</v>
      </c>
      <c r="E68" s="38">
        <v>1</v>
      </c>
      <c r="F68" s="39"/>
      <c r="G68" s="40"/>
      <c r="H68" s="34">
        <f t="shared" si="1"/>
        <v>3.0960000000000001</v>
      </c>
      <c r="I68" s="144"/>
      <c r="J68" s="146" t="s">
        <v>29</v>
      </c>
      <c r="K68" s="157">
        <f t="shared" si="2"/>
        <v>3.0960000000000001</v>
      </c>
    </row>
    <row r="69" spans="2:11" ht="14.4" x14ac:dyDescent="0.25">
      <c r="B69" s="137" t="s">
        <v>309</v>
      </c>
      <c r="C69" s="8">
        <v>3.11</v>
      </c>
      <c r="D69" s="31">
        <v>0.1</v>
      </c>
      <c r="E69" s="38">
        <v>2</v>
      </c>
      <c r="F69" s="39"/>
      <c r="G69" s="40"/>
      <c r="H69" s="34">
        <f t="shared" si="1"/>
        <v>0.622</v>
      </c>
      <c r="I69" s="144"/>
      <c r="J69" s="146" t="s">
        <v>29</v>
      </c>
      <c r="K69" s="157">
        <f t="shared" si="2"/>
        <v>0.622</v>
      </c>
    </row>
    <row r="70" spans="2:11" ht="14.4" x14ac:dyDescent="0.25">
      <c r="B70" s="137" t="s">
        <v>316</v>
      </c>
      <c r="C70" s="8">
        <v>23.61</v>
      </c>
      <c r="D70" s="31">
        <v>0.1</v>
      </c>
      <c r="E70" s="38">
        <v>1</v>
      </c>
      <c r="F70" s="39"/>
      <c r="G70" s="40"/>
      <c r="H70" s="34">
        <f t="shared" si="1"/>
        <v>2.3610000000000002</v>
      </c>
      <c r="I70" s="144"/>
      <c r="J70" s="146" t="s">
        <v>29</v>
      </c>
      <c r="K70" s="157">
        <f t="shared" si="2"/>
        <v>2.3610000000000002</v>
      </c>
    </row>
    <row r="71" spans="2:11" ht="14.4" x14ac:dyDescent="0.25">
      <c r="B71" s="137" t="s">
        <v>317</v>
      </c>
      <c r="C71" s="8">
        <v>4.3600000000000003</v>
      </c>
      <c r="D71" s="31">
        <v>0.1</v>
      </c>
      <c r="E71" s="38">
        <v>1</v>
      </c>
      <c r="F71" s="33"/>
      <c r="G71" s="40"/>
      <c r="H71" s="34">
        <f t="shared" si="1"/>
        <v>0.43600000000000005</v>
      </c>
      <c r="I71" s="144"/>
      <c r="J71" s="146" t="s">
        <v>29</v>
      </c>
      <c r="K71" s="157">
        <f t="shared" si="2"/>
        <v>0.43600000000000005</v>
      </c>
    </row>
    <row r="72" spans="2:11" ht="14.4" x14ac:dyDescent="0.25">
      <c r="B72" s="137" t="s">
        <v>318</v>
      </c>
      <c r="C72" s="57">
        <v>8.98</v>
      </c>
      <c r="D72" s="31">
        <v>0.1</v>
      </c>
      <c r="E72" s="38">
        <v>1</v>
      </c>
      <c r="F72" s="144"/>
      <c r="G72" s="62"/>
      <c r="H72" s="34">
        <f t="shared" si="1"/>
        <v>0.89800000000000013</v>
      </c>
      <c r="I72" s="144"/>
      <c r="J72" s="146" t="s">
        <v>29</v>
      </c>
      <c r="K72" s="157">
        <f t="shared" si="2"/>
        <v>0.89800000000000013</v>
      </c>
    </row>
    <row r="73" spans="2:11" ht="14.4" x14ac:dyDescent="0.25">
      <c r="B73" s="137" t="s">
        <v>319</v>
      </c>
      <c r="C73" s="7">
        <v>4.58</v>
      </c>
      <c r="D73" s="31">
        <v>0.1</v>
      </c>
      <c r="E73" s="38">
        <v>1</v>
      </c>
      <c r="F73" s="33"/>
      <c r="G73" s="34"/>
      <c r="H73" s="34">
        <f t="shared" si="1"/>
        <v>0.45800000000000002</v>
      </c>
      <c r="I73" s="144"/>
      <c r="J73" s="146" t="s">
        <v>29</v>
      </c>
      <c r="K73" s="157">
        <f t="shared" si="2"/>
        <v>0.45800000000000002</v>
      </c>
    </row>
    <row r="74" spans="2:11" ht="14.4" x14ac:dyDescent="0.25">
      <c r="B74" s="137" t="s">
        <v>320</v>
      </c>
      <c r="C74" s="57">
        <v>32.22</v>
      </c>
      <c r="D74" s="31">
        <v>0.1</v>
      </c>
      <c r="E74" s="38">
        <v>1</v>
      </c>
      <c r="F74" s="33"/>
      <c r="G74" s="34"/>
      <c r="H74" s="34">
        <f t="shared" ref="H74:H106" si="3">E74*D74*C74</f>
        <v>3.222</v>
      </c>
      <c r="I74" s="144"/>
      <c r="J74" s="146" t="s">
        <v>29</v>
      </c>
      <c r="K74" s="157">
        <f t="shared" ref="K74:K106" si="4">H74</f>
        <v>3.222</v>
      </c>
    </row>
    <row r="75" spans="2:11" ht="14.4" x14ac:dyDescent="0.25">
      <c r="B75" s="137" t="s">
        <v>286</v>
      </c>
      <c r="C75" s="31">
        <v>9.6300000000000008</v>
      </c>
      <c r="D75" s="31">
        <v>0.1</v>
      </c>
      <c r="E75" s="38">
        <v>1</v>
      </c>
      <c r="F75" s="33"/>
      <c r="G75" s="34"/>
      <c r="H75" s="34">
        <f t="shared" si="3"/>
        <v>0.96300000000000008</v>
      </c>
      <c r="I75" s="144"/>
      <c r="J75" s="146" t="s">
        <v>29</v>
      </c>
      <c r="K75" s="157">
        <f t="shared" si="4"/>
        <v>0.96300000000000008</v>
      </c>
    </row>
    <row r="76" spans="2:11" ht="14.4" x14ac:dyDescent="0.25">
      <c r="B76" s="137" t="s">
        <v>321</v>
      </c>
      <c r="C76" s="31">
        <v>13.23</v>
      </c>
      <c r="D76" s="31">
        <v>0.1</v>
      </c>
      <c r="E76" s="38">
        <v>1</v>
      </c>
      <c r="F76" s="33"/>
      <c r="G76" s="34"/>
      <c r="H76" s="34">
        <f t="shared" si="3"/>
        <v>1.3230000000000002</v>
      </c>
      <c r="I76" s="144"/>
      <c r="J76" s="146" t="s">
        <v>29</v>
      </c>
      <c r="K76" s="157">
        <f t="shared" si="4"/>
        <v>1.3230000000000002</v>
      </c>
    </row>
    <row r="77" spans="2:11" ht="14.4" x14ac:dyDescent="0.25">
      <c r="B77" s="137" t="s">
        <v>274</v>
      </c>
      <c r="C77" s="31">
        <v>50.18</v>
      </c>
      <c r="D77" s="31">
        <v>0.1</v>
      </c>
      <c r="E77" s="38">
        <v>1</v>
      </c>
      <c r="F77" s="33"/>
      <c r="G77" s="34"/>
      <c r="H77" s="34">
        <f t="shared" si="3"/>
        <v>5.0180000000000007</v>
      </c>
      <c r="I77" s="144"/>
      <c r="J77" s="146" t="s">
        <v>29</v>
      </c>
      <c r="K77" s="157">
        <f t="shared" si="4"/>
        <v>5.0180000000000007</v>
      </c>
    </row>
    <row r="78" spans="2:11" ht="14.4" x14ac:dyDescent="0.25">
      <c r="B78" s="137" t="s">
        <v>281</v>
      </c>
      <c r="C78" s="31">
        <v>25.06</v>
      </c>
      <c r="D78" s="31">
        <v>0.1</v>
      </c>
      <c r="E78" s="38">
        <v>1</v>
      </c>
      <c r="F78" s="33"/>
      <c r="G78" s="34"/>
      <c r="H78" s="34">
        <f t="shared" si="3"/>
        <v>2.5060000000000002</v>
      </c>
      <c r="I78" s="144"/>
      <c r="J78" s="146" t="s">
        <v>29</v>
      </c>
      <c r="K78" s="157">
        <f t="shared" si="4"/>
        <v>2.5060000000000002</v>
      </c>
    </row>
    <row r="79" spans="2:11" ht="14.4" x14ac:dyDescent="0.25">
      <c r="B79" s="137" t="s">
        <v>291</v>
      </c>
      <c r="C79" s="31">
        <v>4.0199999999999996</v>
      </c>
      <c r="D79" s="31">
        <v>0.1</v>
      </c>
      <c r="E79" s="38">
        <v>1</v>
      </c>
      <c r="F79" s="33"/>
      <c r="G79" s="34"/>
      <c r="H79" s="34">
        <f t="shared" si="3"/>
        <v>0.40199999999999997</v>
      </c>
      <c r="I79" s="144"/>
      <c r="J79" s="146" t="s">
        <v>29</v>
      </c>
      <c r="K79" s="157">
        <f t="shared" si="4"/>
        <v>0.40199999999999997</v>
      </c>
    </row>
    <row r="80" spans="2:11" ht="14.4" x14ac:dyDescent="0.25">
      <c r="B80" s="137" t="s">
        <v>322</v>
      </c>
      <c r="C80" s="31">
        <v>8.11</v>
      </c>
      <c r="D80" s="31">
        <v>0.1</v>
      </c>
      <c r="E80" s="38">
        <v>1</v>
      </c>
      <c r="F80" s="33"/>
      <c r="G80" s="34"/>
      <c r="H80" s="34">
        <f t="shared" si="3"/>
        <v>0.81099999999999994</v>
      </c>
      <c r="I80" s="144"/>
      <c r="J80" s="146" t="s">
        <v>29</v>
      </c>
      <c r="K80" s="157">
        <f t="shared" si="4"/>
        <v>0.81099999999999994</v>
      </c>
    </row>
    <row r="81" spans="2:11" ht="14.4" x14ac:dyDescent="0.25">
      <c r="B81" s="137" t="s">
        <v>323</v>
      </c>
      <c r="C81" s="31">
        <v>10.27</v>
      </c>
      <c r="D81" s="31">
        <v>0.1</v>
      </c>
      <c r="E81" s="38">
        <v>1</v>
      </c>
      <c r="F81" s="33"/>
      <c r="G81" s="34"/>
      <c r="H81" s="34">
        <f t="shared" si="3"/>
        <v>1.0269999999999999</v>
      </c>
      <c r="I81" s="144"/>
      <c r="J81" s="146" t="s">
        <v>29</v>
      </c>
      <c r="K81" s="157">
        <f t="shared" si="4"/>
        <v>1.0269999999999999</v>
      </c>
    </row>
    <row r="82" spans="2:11" ht="14.4" x14ac:dyDescent="0.25">
      <c r="B82" s="137" t="s">
        <v>324</v>
      </c>
      <c r="C82" s="31">
        <v>33.18</v>
      </c>
      <c r="D82" s="31">
        <v>0.1</v>
      </c>
      <c r="E82" s="38">
        <v>1</v>
      </c>
      <c r="F82" s="33"/>
      <c r="G82" s="34"/>
      <c r="H82" s="34">
        <f t="shared" si="3"/>
        <v>3.3180000000000001</v>
      </c>
      <c r="I82" s="144"/>
      <c r="J82" s="146" t="s">
        <v>29</v>
      </c>
      <c r="K82" s="157">
        <f t="shared" si="4"/>
        <v>3.3180000000000001</v>
      </c>
    </row>
    <row r="83" spans="2:11" ht="14.4" x14ac:dyDescent="0.25">
      <c r="B83" s="137" t="s">
        <v>325</v>
      </c>
      <c r="C83" s="31">
        <v>11.8</v>
      </c>
      <c r="D83" s="31">
        <v>0.1</v>
      </c>
      <c r="E83" s="38">
        <v>1</v>
      </c>
      <c r="F83" s="33"/>
      <c r="G83" s="34"/>
      <c r="H83" s="34">
        <f t="shared" si="3"/>
        <v>1.1800000000000002</v>
      </c>
      <c r="I83" s="144"/>
      <c r="J83" s="146" t="s">
        <v>29</v>
      </c>
      <c r="K83" s="157">
        <f t="shared" si="4"/>
        <v>1.1800000000000002</v>
      </c>
    </row>
    <row r="84" spans="2:11" ht="14.4" x14ac:dyDescent="0.25">
      <c r="B84" s="137" t="s">
        <v>281</v>
      </c>
      <c r="C84" s="31">
        <v>36.61</v>
      </c>
      <c r="D84" s="31">
        <v>0.1</v>
      </c>
      <c r="E84" s="38">
        <v>1</v>
      </c>
      <c r="F84" s="33"/>
      <c r="G84" s="34"/>
      <c r="H84" s="34">
        <f t="shared" si="3"/>
        <v>3.661</v>
      </c>
      <c r="I84" s="144"/>
      <c r="J84" s="146" t="s">
        <v>29</v>
      </c>
      <c r="K84" s="157">
        <f t="shared" si="4"/>
        <v>3.661</v>
      </c>
    </row>
    <row r="85" spans="2:11" ht="14.4" x14ac:dyDescent="0.25">
      <c r="B85" s="137" t="s">
        <v>326</v>
      </c>
      <c r="C85" s="31">
        <v>51.31</v>
      </c>
      <c r="D85" s="31">
        <v>0.1</v>
      </c>
      <c r="E85" s="38">
        <v>1</v>
      </c>
      <c r="F85" s="33"/>
      <c r="G85" s="34"/>
      <c r="H85" s="34">
        <f t="shared" si="3"/>
        <v>5.1310000000000002</v>
      </c>
      <c r="I85" s="144"/>
      <c r="J85" s="146" t="s">
        <v>29</v>
      </c>
      <c r="K85" s="157">
        <f t="shared" si="4"/>
        <v>5.1310000000000002</v>
      </c>
    </row>
    <row r="86" spans="2:11" ht="14.4" x14ac:dyDescent="0.25">
      <c r="B86" s="137" t="s">
        <v>327</v>
      </c>
      <c r="C86" s="31">
        <v>7.58</v>
      </c>
      <c r="D86" s="31">
        <v>0.1</v>
      </c>
      <c r="E86" s="38">
        <v>1</v>
      </c>
      <c r="F86" s="33"/>
      <c r="G86" s="34"/>
      <c r="H86" s="34">
        <f t="shared" si="3"/>
        <v>0.75800000000000001</v>
      </c>
      <c r="I86" s="144"/>
      <c r="J86" s="146" t="s">
        <v>29</v>
      </c>
      <c r="K86" s="157">
        <f t="shared" si="4"/>
        <v>0.75800000000000001</v>
      </c>
    </row>
    <row r="87" spans="2:11" ht="14.4" x14ac:dyDescent="0.25">
      <c r="B87" s="137" t="s">
        <v>328</v>
      </c>
      <c r="C87" s="31">
        <v>11.25</v>
      </c>
      <c r="D87" s="31">
        <v>0.1</v>
      </c>
      <c r="E87" s="38">
        <v>1</v>
      </c>
      <c r="F87" s="33"/>
      <c r="G87" s="34"/>
      <c r="H87" s="34">
        <f t="shared" si="3"/>
        <v>1.125</v>
      </c>
      <c r="I87" s="144"/>
      <c r="J87" s="146" t="s">
        <v>29</v>
      </c>
      <c r="K87" s="157">
        <f t="shared" si="4"/>
        <v>1.125</v>
      </c>
    </row>
    <row r="88" spans="2:11" ht="14.4" x14ac:dyDescent="0.25">
      <c r="B88" s="137" t="s">
        <v>329</v>
      </c>
      <c r="C88" s="31">
        <v>24.28</v>
      </c>
      <c r="D88" s="31">
        <v>0.1</v>
      </c>
      <c r="E88" s="38">
        <v>1</v>
      </c>
      <c r="F88" s="33"/>
      <c r="G88" s="34"/>
      <c r="H88" s="34">
        <f t="shared" si="3"/>
        <v>2.4280000000000004</v>
      </c>
      <c r="I88" s="144"/>
      <c r="J88" s="146" t="s">
        <v>29</v>
      </c>
      <c r="K88" s="157">
        <f t="shared" si="4"/>
        <v>2.4280000000000004</v>
      </c>
    </row>
    <row r="89" spans="2:11" ht="14.4" x14ac:dyDescent="0.25">
      <c r="B89" s="137" t="s">
        <v>330</v>
      </c>
      <c r="C89" s="31">
        <v>31.4</v>
      </c>
      <c r="D89" s="31">
        <v>0.1</v>
      </c>
      <c r="E89" s="38">
        <v>1</v>
      </c>
      <c r="F89" s="33"/>
      <c r="G89" s="34"/>
      <c r="H89" s="34">
        <f t="shared" si="3"/>
        <v>3.14</v>
      </c>
      <c r="I89" s="144"/>
      <c r="J89" s="146" t="s">
        <v>29</v>
      </c>
      <c r="K89" s="157">
        <f t="shared" si="4"/>
        <v>3.14</v>
      </c>
    </row>
    <row r="90" spans="2:11" ht="14.4" x14ac:dyDescent="0.25">
      <c r="B90" s="137" t="s">
        <v>281</v>
      </c>
      <c r="C90" s="31">
        <v>5.08</v>
      </c>
      <c r="D90" s="31">
        <v>0.1</v>
      </c>
      <c r="E90" s="38">
        <v>1</v>
      </c>
      <c r="F90" s="33"/>
      <c r="G90" s="34"/>
      <c r="H90" s="34">
        <f t="shared" si="3"/>
        <v>0.50800000000000001</v>
      </c>
      <c r="I90" s="144"/>
      <c r="J90" s="146" t="s">
        <v>29</v>
      </c>
      <c r="K90" s="157">
        <f t="shared" si="4"/>
        <v>0.50800000000000001</v>
      </c>
    </row>
    <row r="91" spans="2:11" ht="14.4" x14ac:dyDescent="0.25">
      <c r="B91" s="137" t="s">
        <v>331</v>
      </c>
      <c r="C91" s="31">
        <v>5.23</v>
      </c>
      <c r="D91" s="31">
        <v>0.1</v>
      </c>
      <c r="E91" s="38">
        <v>1</v>
      </c>
      <c r="F91" s="33"/>
      <c r="G91" s="34"/>
      <c r="H91" s="34">
        <f t="shared" si="3"/>
        <v>0.52300000000000002</v>
      </c>
      <c r="I91" s="144"/>
      <c r="J91" s="146" t="s">
        <v>29</v>
      </c>
      <c r="K91" s="157">
        <f t="shared" si="4"/>
        <v>0.52300000000000002</v>
      </c>
    </row>
    <row r="92" spans="2:11" ht="14.4" x14ac:dyDescent="0.25">
      <c r="B92" s="137" t="s">
        <v>332</v>
      </c>
      <c r="C92" s="31">
        <v>10.93</v>
      </c>
      <c r="D92" s="31">
        <v>0.1</v>
      </c>
      <c r="E92" s="38">
        <v>1</v>
      </c>
      <c r="F92" s="33"/>
      <c r="G92" s="34"/>
      <c r="H92" s="34">
        <f t="shared" si="3"/>
        <v>1.093</v>
      </c>
      <c r="I92" s="144"/>
      <c r="J92" s="146" t="s">
        <v>29</v>
      </c>
      <c r="K92" s="157">
        <f t="shared" si="4"/>
        <v>1.093</v>
      </c>
    </row>
    <row r="93" spans="2:11" ht="14.4" x14ac:dyDescent="0.25">
      <c r="B93" s="137" t="s">
        <v>333</v>
      </c>
      <c r="C93" s="31">
        <v>36.49</v>
      </c>
      <c r="D93" s="31">
        <v>0.1</v>
      </c>
      <c r="E93" s="38">
        <v>1</v>
      </c>
      <c r="F93" s="33"/>
      <c r="G93" s="34"/>
      <c r="H93" s="34">
        <f t="shared" si="3"/>
        <v>3.6490000000000005</v>
      </c>
      <c r="I93" s="144"/>
      <c r="J93" s="146" t="s">
        <v>29</v>
      </c>
      <c r="K93" s="157">
        <f t="shared" si="4"/>
        <v>3.6490000000000005</v>
      </c>
    </row>
    <row r="94" spans="2:11" ht="14.4" x14ac:dyDescent="0.25">
      <c r="B94" s="137" t="s">
        <v>281</v>
      </c>
      <c r="C94" s="31">
        <v>30.31</v>
      </c>
      <c r="D94" s="31">
        <v>0.1</v>
      </c>
      <c r="E94" s="38">
        <v>1</v>
      </c>
      <c r="F94" s="33"/>
      <c r="G94" s="34"/>
      <c r="H94" s="34">
        <f t="shared" si="3"/>
        <v>3.0310000000000001</v>
      </c>
      <c r="I94" s="144"/>
      <c r="J94" s="146" t="s">
        <v>29</v>
      </c>
      <c r="K94" s="157">
        <f t="shared" si="4"/>
        <v>3.0310000000000001</v>
      </c>
    </row>
    <row r="95" spans="2:11" ht="14.4" x14ac:dyDescent="0.25">
      <c r="B95" s="137" t="s">
        <v>281</v>
      </c>
      <c r="C95" s="31">
        <v>2.62</v>
      </c>
      <c r="D95" s="31">
        <v>0.1</v>
      </c>
      <c r="E95" s="38">
        <v>1</v>
      </c>
      <c r="F95" s="33"/>
      <c r="G95" s="34"/>
      <c r="H95" s="34">
        <f t="shared" si="3"/>
        <v>0.26200000000000001</v>
      </c>
      <c r="I95" s="144"/>
      <c r="J95" s="146" t="s">
        <v>29</v>
      </c>
      <c r="K95" s="157">
        <f t="shared" si="4"/>
        <v>0.26200000000000001</v>
      </c>
    </row>
    <row r="96" spans="2:11" ht="14.4" x14ac:dyDescent="0.25">
      <c r="B96" s="137" t="s">
        <v>110</v>
      </c>
      <c r="C96" s="31">
        <v>5.32</v>
      </c>
      <c r="D96" s="31">
        <v>0.1</v>
      </c>
      <c r="E96" s="38">
        <v>1</v>
      </c>
      <c r="F96" s="33"/>
      <c r="G96" s="34"/>
      <c r="H96" s="34">
        <f t="shared" si="3"/>
        <v>0.53200000000000003</v>
      </c>
      <c r="I96" s="144"/>
      <c r="J96" s="146" t="s">
        <v>29</v>
      </c>
      <c r="K96" s="157">
        <f t="shared" si="4"/>
        <v>0.53200000000000003</v>
      </c>
    </row>
    <row r="97" spans="2:11" ht="14.4" x14ac:dyDescent="0.25">
      <c r="B97" s="137" t="s">
        <v>335</v>
      </c>
      <c r="C97" s="31">
        <v>18.27</v>
      </c>
      <c r="D97" s="31">
        <v>0.1</v>
      </c>
      <c r="E97" s="38">
        <v>1</v>
      </c>
      <c r="F97" s="33"/>
      <c r="G97" s="34"/>
      <c r="H97" s="34">
        <f t="shared" si="3"/>
        <v>1.827</v>
      </c>
      <c r="I97" s="144"/>
      <c r="J97" s="146" t="s">
        <v>29</v>
      </c>
      <c r="K97" s="157">
        <f t="shared" si="4"/>
        <v>1.827</v>
      </c>
    </row>
    <row r="98" spans="2:11" ht="14.4" x14ac:dyDescent="0.25">
      <c r="B98" s="137" t="s">
        <v>336</v>
      </c>
      <c r="C98" s="31">
        <v>86.41</v>
      </c>
      <c r="D98" s="31">
        <v>0.1</v>
      </c>
      <c r="E98" s="38">
        <v>1</v>
      </c>
      <c r="F98" s="33"/>
      <c r="G98" s="34"/>
      <c r="H98" s="34">
        <f t="shared" si="3"/>
        <v>8.641</v>
      </c>
      <c r="I98" s="144"/>
      <c r="J98" s="146" t="s">
        <v>29</v>
      </c>
      <c r="K98" s="157">
        <f t="shared" si="4"/>
        <v>8.641</v>
      </c>
    </row>
    <row r="99" spans="2:11" ht="14.4" x14ac:dyDescent="0.25">
      <c r="B99" s="137" t="s">
        <v>281</v>
      </c>
      <c r="C99" s="31">
        <v>10.23</v>
      </c>
      <c r="D99" s="31">
        <v>0.1</v>
      </c>
      <c r="E99" s="38">
        <v>1</v>
      </c>
      <c r="F99" s="33"/>
      <c r="G99" s="34"/>
      <c r="H99" s="34">
        <f t="shared" si="3"/>
        <v>1.0230000000000001</v>
      </c>
      <c r="I99" s="144"/>
      <c r="J99" s="146" t="s">
        <v>29</v>
      </c>
      <c r="K99" s="157">
        <f t="shared" si="4"/>
        <v>1.0230000000000001</v>
      </c>
    </row>
    <row r="100" spans="2:11" ht="14.4" x14ac:dyDescent="0.25">
      <c r="B100" s="137" t="s">
        <v>281</v>
      </c>
      <c r="C100" s="31">
        <v>6.13</v>
      </c>
      <c r="D100" s="31">
        <v>0.1</v>
      </c>
      <c r="E100" s="38">
        <v>1</v>
      </c>
      <c r="F100" s="33"/>
      <c r="G100" s="34"/>
      <c r="H100" s="34">
        <f t="shared" si="3"/>
        <v>0.61299999999999999</v>
      </c>
      <c r="I100" s="144"/>
      <c r="J100" s="146" t="s">
        <v>29</v>
      </c>
      <c r="K100" s="157">
        <f t="shared" si="4"/>
        <v>0.61299999999999999</v>
      </c>
    </row>
    <row r="101" spans="2:11" ht="14.4" x14ac:dyDescent="0.25">
      <c r="B101" s="137" t="s">
        <v>337</v>
      </c>
      <c r="C101" s="31">
        <v>15.34</v>
      </c>
      <c r="D101" s="31">
        <v>0.1</v>
      </c>
      <c r="E101" s="38">
        <v>1</v>
      </c>
      <c r="F101" s="33"/>
      <c r="G101" s="34"/>
      <c r="H101" s="34">
        <f t="shared" si="3"/>
        <v>1.534</v>
      </c>
      <c r="I101" s="144"/>
      <c r="J101" s="146" t="s">
        <v>29</v>
      </c>
      <c r="K101" s="157">
        <f t="shared" si="4"/>
        <v>1.534</v>
      </c>
    </row>
    <row r="102" spans="2:11" ht="14.4" x14ac:dyDescent="0.25">
      <c r="B102" s="137" t="s">
        <v>281</v>
      </c>
      <c r="C102" s="31">
        <v>3.54</v>
      </c>
      <c r="D102" s="31">
        <v>0.1</v>
      </c>
      <c r="E102" s="38">
        <v>1</v>
      </c>
      <c r="F102" s="33"/>
      <c r="G102" s="34"/>
      <c r="H102" s="34">
        <f t="shared" si="3"/>
        <v>0.35400000000000004</v>
      </c>
      <c r="I102" s="144"/>
      <c r="J102" s="146" t="s">
        <v>29</v>
      </c>
      <c r="K102" s="157">
        <f t="shared" si="4"/>
        <v>0.35400000000000004</v>
      </c>
    </row>
    <row r="103" spans="2:11" ht="14.4" x14ac:dyDescent="0.25">
      <c r="B103" s="137" t="s">
        <v>312</v>
      </c>
      <c r="C103" s="31">
        <v>3.37</v>
      </c>
      <c r="D103" s="31">
        <v>0.1</v>
      </c>
      <c r="E103" s="38">
        <v>1</v>
      </c>
      <c r="F103" s="33"/>
      <c r="G103" s="34"/>
      <c r="H103" s="34">
        <f t="shared" si="3"/>
        <v>0.33700000000000002</v>
      </c>
      <c r="I103" s="144"/>
      <c r="J103" s="146" t="s">
        <v>29</v>
      </c>
      <c r="K103" s="157">
        <f t="shared" si="4"/>
        <v>0.33700000000000002</v>
      </c>
    </row>
    <row r="104" spans="2:11" ht="14.4" x14ac:dyDescent="0.25">
      <c r="B104" s="137" t="s">
        <v>338</v>
      </c>
      <c r="C104" s="31">
        <v>3.37</v>
      </c>
      <c r="D104" s="31">
        <v>0.1</v>
      </c>
      <c r="E104" s="38">
        <v>1</v>
      </c>
      <c r="F104" s="33"/>
      <c r="G104" s="34"/>
      <c r="H104" s="34">
        <f t="shared" si="3"/>
        <v>0.33700000000000002</v>
      </c>
      <c r="I104" s="144"/>
      <c r="J104" s="146" t="s">
        <v>29</v>
      </c>
      <c r="K104" s="157">
        <f t="shared" si="4"/>
        <v>0.33700000000000002</v>
      </c>
    </row>
    <row r="105" spans="2:11" ht="14.4" x14ac:dyDescent="0.25">
      <c r="B105" s="137" t="s">
        <v>339</v>
      </c>
      <c r="C105" s="31">
        <v>3.6</v>
      </c>
      <c r="D105" s="31">
        <v>0.1</v>
      </c>
      <c r="E105" s="38">
        <v>1</v>
      </c>
      <c r="F105" s="33"/>
      <c r="G105" s="34"/>
      <c r="H105" s="34">
        <f t="shared" si="3"/>
        <v>0.36000000000000004</v>
      </c>
      <c r="I105" s="144"/>
      <c r="J105" s="146" t="s">
        <v>29</v>
      </c>
      <c r="K105" s="157">
        <f t="shared" si="4"/>
        <v>0.36000000000000004</v>
      </c>
    </row>
    <row r="106" spans="2:11" ht="14.4" x14ac:dyDescent="0.25">
      <c r="B106" s="137" t="s">
        <v>312</v>
      </c>
      <c r="C106" s="31">
        <v>3.37</v>
      </c>
      <c r="D106" s="31">
        <v>0.1</v>
      </c>
      <c r="E106" s="38">
        <v>1</v>
      </c>
      <c r="F106" s="33"/>
      <c r="G106" s="34"/>
      <c r="H106" s="34">
        <f t="shared" si="3"/>
        <v>0.33700000000000002</v>
      </c>
      <c r="I106" s="144"/>
      <c r="J106" s="146" t="s">
        <v>29</v>
      </c>
      <c r="K106" s="157">
        <f t="shared" si="4"/>
        <v>0.33700000000000002</v>
      </c>
    </row>
    <row r="107" spans="2:11" ht="14.4" x14ac:dyDescent="0.25">
      <c r="B107" s="137"/>
      <c r="C107" s="31"/>
      <c r="D107" s="31"/>
      <c r="E107" s="38"/>
      <c r="F107" s="31"/>
      <c r="G107" s="31"/>
      <c r="H107" s="34"/>
      <c r="I107" s="144"/>
      <c r="J107" s="146"/>
      <c r="K107" s="157"/>
    </row>
    <row r="108" spans="2:11" ht="14.4" x14ac:dyDescent="0.25">
      <c r="B108" s="74"/>
      <c r="C108" s="7"/>
      <c r="D108" s="31"/>
      <c r="E108" s="32"/>
      <c r="F108" s="33"/>
      <c r="G108" s="34"/>
      <c r="H108" s="34"/>
      <c r="I108" s="147"/>
      <c r="J108" s="35"/>
      <c r="K108" s="159"/>
    </row>
    <row r="109" spans="2:11" ht="15" thickBot="1" x14ac:dyDescent="0.3">
      <c r="B109" s="205" t="s">
        <v>334</v>
      </c>
      <c r="C109" s="206"/>
      <c r="D109" s="207"/>
      <c r="E109" s="209"/>
      <c r="F109" s="210"/>
      <c r="G109" s="207"/>
      <c r="H109" s="207"/>
      <c r="I109" s="210"/>
      <c r="J109" s="211" t="s">
        <v>29</v>
      </c>
      <c r="K109" s="212">
        <f>SUM(K10:K108)</f>
        <v>154.82183999999998</v>
      </c>
    </row>
  </sheetData>
  <mergeCells count="3">
    <mergeCell ref="B6:B7"/>
    <mergeCell ref="J6:J7"/>
    <mergeCell ref="K6:K7"/>
  </mergeCells>
  <dataValidations count="1">
    <dataValidation type="list" allowBlank="1" showInputMessage="1" showErrorMessage="1" sqref="F9 F6:F7 C6:C7" xr:uid="{ABE3DA0A-A0F1-42C7-B190-081FC0DF23F2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269F-C005-4CF5-8C22-F3D779D54F3F}">
  <dimension ref="A1:M69"/>
  <sheetViews>
    <sheetView workbookViewId="0">
      <selection activeCell="A2" sqref="A2:M18"/>
    </sheetView>
  </sheetViews>
  <sheetFormatPr defaultRowHeight="13.2" x14ac:dyDescent="0.25"/>
  <cols>
    <col min="2" max="2" width="30.77734375" customWidth="1"/>
    <col min="3" max="4" width="14.77734375" customWidth="1"/>
    <col min="6" max="6" width="15.77734375" customWidth="1"/>
    <col min="7" max="7" width="12.77734375" customWidth="1"/>
  </cols>
  <sheetData>
    <row r="1" spans="1:13" x14ac:dyDescent="0.25">
      <c r="A1" s="14"/>
    </row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  <c r="F4" s="17"/>
      <c r="G4" s="17"/>
      <c r="H4" s="17"/>
      <c r="I4" s="17"/>
      <c r="J4" s="17"/>
    </row>
    <row r="5" spans="1:13" ht="14.4" x14ac:dyDescent="0.25">
      <c r="B5" s="15"/>
      <c r="C5" s="16"/>
      <c r="D5" s="14"/>
      <c r="E5" s="17"/>
      <c r="F5" s="17"/>
      <c r="G5" s="17"/>
      <c r="H5" s="17"/>
      <c r="I5" s="17"/>
      <c r="J5" s="17"/>
    </row>
    <row r="6" spans="1:13" ht="14.4" x14ac:dyDescent="0.25">
      <c r="B6" s="15" t="s">
        <v>239</v>
      </c>
      <c r="C6" s="16"/>
      <c r="D6" s="14"/>
      <c r="E6" s="17"/>
      <c r="F6" s="17"/>
      <c r="G6" s="17"/>
      <c r="H6" s="17"/>
      <c r="I6" s="17"/>
      <c r="J6" s="17"/>
    </row>
    <row r="7" spans="1:13" ht="15.6" x14ac:dyDescent="0.25">
      <c r="B7" s="1" t="s">
        <v>37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9.95" customHeight="1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5.6" x14ac:dyDescent="0.25">
      <c r="A10" s="14"/>
      <c r="B10" s="23" t="s">
        <v>61</v>
      </c>
      <c r="C10" s="24"/>
      <c r="D10" s="25"/>
      <c r="E10" s="24"/>
      <c r="F10" s="26"/>
      <c r="G10" s="27"/>
      <c r="H10" s="28"/>
      <c r="I10" s="28"/>
      <c r="J10" s="28"/>
      <c r="K10" s="28"/>
      <c r="L10" s="29"/>
      <c r="M10" s="30"/>
    </row>
    <row r="11" spans="1:13" ht="15" thickBot="1" x14ac:dyDescent="0.35">
      <c r="B11" s="43"/>
      <c r="C11" s="44"/>
      <c r="D11" s="45"/>
      <c r="E11" s="45"/>
      <c r="F11" s="45"/>
      <c r="G11" s="44"/>
      <c r="H11" s="46"/>
      <c r="I11" s="47"/>
      <c r="J11" s="47"/>
      <c r="K11" s="46"/>
      <c r="L11" s="46"/>
      <c r="M11" s="48"/>
    </row>
    <row r="12" spans="1:13" ht="28.8" x14ac:dyDescent="0.3">
      <c r="B12" s="148" t="s">
        <v>43</v>
      </c>
      <c r="C12" s="149"/>
      <c r="D12" s="150">
        <v>31.6</v>
      </c>
      <c r="E12" s="151">
        <v>4.7</v>
      </c>
      <c r="F12" s="150">
        <v>0.75</v>
      </c>
      <c r="G12" s="152">
        <v>1</v>
      </c>
      <c r="H12" s="153"/>
      <c r="I12" s="154"/>
      <c r="J12" s="71">
        <f>G12*F12*E12*D12</f>
        <v>111.39000000000001</v>
      </c>
      <c r="K12" s="153"/>
      <c r="L12" s="155" t="s">
        <v>29</v>
      </c>
      <c r="M12" s="156">
        <f>J12</f>
        <v>111.39000000000001</v>
      </c>
    </row>
    <row r="13" spans="1:13" ht="14.4" x14ac:dyDescent="0.3">
      <c r="B13" s="74"/>
      <c r="C13" s="7"/>
      <c r="D13" s="31">
        <v>31.6</v>
      </c>
      <c r="E13" s="42">
        <v>3</v>
      </c>
      <c r="F13" s="31">
        <v>0.75</v>
      </c>
      <c r="G13" s="32">
        <v>1</v>
      </c>
      <c r="H13" s="33"/>
      <c r="I13" s="34"/>
      <c r="J13" s="34">
        <f t="shared" ref="J13:J17" si="0">G13*F13*E13*D13</f>
        <v>71.100000000000009</v>
      </c>
      <c r="K13" s="144"/>
      <c r="L13" s="146" t="s">
        <v>29</v>
      </c>
      <c r="M13" s="157">
        <f t="shared" ref="M13:M17" si="1">J13</f>
        <v>71.100000000000009</v>
      </c>
    </row>
    <row r="14" spans="1:13" ht="14.4" x14ac:dyDescent="0.3">
      <c r="B14" s="137"/>
      <c r="C14" s="8"/>
      <c r="D14" s="37">
        <v>26.1</v>
      </c>
      <c r="E14" s="49">
        <v>49.5</v>
      </c>
      <c r="F14" s="37">
        <v>0.75</v>
      </c>
      <c r="G14" s="38">
        <v>1</v>
      </c>
      <c r="H14" s="39"/>
      <c r="I14" s="40"/>
      <c r="J14" s="34">
        <f t="shared" si="0"/>
        <v>968.96250000000009</v>
      </c>
      <c r="K14" s="144"/>
      <c r="L14" s="146" t="s">
        <v>29</v>
      </c>
      <c r="M14" s="157">
        <f t="shared" si="1"/>
        <v>968.96250000000009</v>
      </c>
    </row>
    <row r="15" spans="1:13" ht="14.4" x14ac:dyDescent="0.3">
      <c r="B15" s="74"/>
      <c r="C15" s="8"/>
      <c r="D15" s="37">
        <v>14</v>
      </c>
      <c r="E15" s="42">
        <v>32.1</v>
      </c>
      <c r="F15" s="37">
        <v>0.75</v>
      </c>
      <c r="G15" s="38">
        <v>1</v>
      </c>
      <c r="H15" s="33"/>
      <c r="I15" s="40"/>
      <c r="J15" s="34">
        <f t="shared" si="0"/>
        <v>337.05000000000007</v>
      </c>
      <c r="K15" s="144"/>
      <c r="L15" s="146" t="s">
        <v>29</v>
      </c>
      <c r="M15" s="157">
        <f t="shared" si="1"/>
        <v>337.05000000000007</v>
      </c>
    </row>
    <row r="16" spans="1:13" ht="14.4" x14ac:dyDescent="0.3">
      <c r="B16" s="158"/>
      <c r="C16" s="57"/>
      <c r="D16" s="58">
        <v>14.2</v>
      </c>
      <c r="E16" s="143">
        <v>68.3</v>
      </c>
      <c r="F16" s="58">
        <v>0.75</v>
      </c>
      <c r="G16" s="60">
        <v>2</v>
      </c>
      <c r="H16" s="144"/>
      <c r="I16" s="62"/>
      <c r="J16" s="34">
        <f t="shared" si="0"/>
        <v>1454.7899999999997</v>
      </c>
      <c r="K16" s="144"/>
      <c r="L16" s="146" t="s">
        <v>29</v>
      </c>
      <c r="M16" s="157">
        <f t="shared" si="1"/>
        <v>1454.7899999999997</v>
      </c>
    </row>
    <row r="17" spans="2:13" ht="14.4" x14ac:dyDescent="0.3">
      <c r="B17" s="74"/>
      <c r="C17" s="7"/>
      <c r="D17" s="31">
        <v>32.1</v>
      </c>
      <c r="E17" s="42">
        <v>15</v>
      </c>
      <c r="F17" s="31">
        <v>0.75</v>
      </c>
      <c r="G17" s="32">
        <v>1</v>
      </c>
      <c r="H17" s="33"/>
      <c r="I17" s="34"/>
      <c r="J17" s="34">
        <f t="shared" si="0"/>
        <v>361.125</v>
      </c>
      <c r="K17" s="147"/>
      <c r="L17" s="35" t="s">
        <v>29</v>
      </c>
      <c r="M17" s="159">
        <f t="shared" si="1"/>
        <v>361.125</v>
      </c>
    </row>
    <row r="18" spans="2:13" ht="15" thickBot="1" x14ac:dyDescent="0.35">
      <c r="B18" s="106" t="s">
        <v>42</v>
      </c>
      <c r="C18" s="76"/>
      <c r="D18" s="77"/>
      <c r="E18" s="107"/>
      <c r="F18" s="77"/>
      <c r="G18" s="79"/>
      <c r="H18" s="82"/>
      <c r="I18" s="81"/>
      <c r="J18" s="81"/>
      <c r="K18" s="82"/>
      <c r="L18" s="83" t="s">
        <v>29</v>
      </c>
      <c r="M18" s="84">
        <f>SUM(M12:M17)</f>
        <v>3304.4174999999996</v>
      </c>
    </row>
    <row r="19" spans="2:13" ht="14.4" x14ac:dyDescent="0.3">
      <c r="B19" s="57"/>
      <c r="C19" s="57"/>
      <c r="D19" s="58"/>
      <c r="E19" s="59"/>
      <c r="F19" s="58"/>
      <c r="G19" s="60"/>
      <c r="H19" s="61"/>
      <c r="I19" s="62"/>
      <c r="J19" s="62"/>
      <c r="K19" s="61"/>
      <c r="L19" s="63"/>
      <c r="M19" s="64"/>
    </row>
    <row r="21" spans="2:13" ht="14.4" x14ac:dyDescent="0.25">
      <c r="B21" s="570" t="s">
        <v>1</v>
      </c>
      <c r="C21" s="10" t="s">
        <v>0</v>
      </c>
      <c r="D21" s="9" t="s">
        <v>12</v>
      </c>
      <c r="E21" s="9" t="s">
        <v>4</v>
      </c>
      <c r="F21" s="9" t="s">
        <v>38</v>
      </c>
      <c r="G21" s="9" t="s">
        <v>6</v>
      </c>
      <c r="H21" s="12" t="s">
        <v>5</v>
      </c>
      <c r="I21" s="11" t="s">
        <v>13</v>
      </c>
      <c r="J21" s="11" t="s">
        <v>26</v>
      </c>
      <c r="K21" s="12" t="s">
        <v>14</v>
      </c>
      <c r="L21" s="570" t="s">
        <v>7</v>
      </c>
      <c r="M21" s="572" t="s">
        <v>8</v>
      </c>
    </row>
    <row r="22" spans="2:13" ht="14.4" x14ac:dyDescent="0.3">
      <c r="B22" s="571"/>
      <c r="C22" s="18" t="s">
        <v>9</v>
      </c>
      <c r="D22" s="19" t="s">
        <v>10</v>
      </c>
      <c r="E22" s="19" t="s">
        <v>10</v>
      </c>
      <c r="F22" s="19" t="s">
        <v>10</v>
      </c>
      <c r="G22" s="18" t="s">
        <v>9</v>
      </c>
      <c r="H22" s="20" t="s">
        <v>11</v>
      </c>
      <c r="I22" s="21" t="s">
        <v>11</v>
      </c>
      <c r="J22" s="21" t="s">
        <v>27</v>
      </c>
      <c r="K22" s="20" t="s">
        <v>15</v>
      </c>
      <c r="L22" s="571"/>
      <c r="M22" s="573"/>
    </row>
    <row r="23" spans="2:13" ht="15.6" x14ac:dyDescent="0.25">
      <c r="B23" s="23" t="s">
        <v>62</v>
      </c>
      <c r="C23" s="24"/>
      <c r="D23" s="25"/>
      <c r="E23" s="24"/>
      <c r="F23" s="26"/>
      <c r="G23" s="27"/>
      <c r="H23" s="28"/>
      <c r="I23" s="28"/>
      <c r="J23" s="28"/>
      <c r="K23" s="28"/>
      <c r="L23" s="29"/>
      <c r="M23" s="30"/>
    </row>
    <row r="24" spans="2:13" ht="15" thickBot="1" x14ac:dyDescent="0.35">
      <c r="B24" s="43"/>
      <c r="C24" s="44"/>
      <c r="D24" s="45"/>
      <c r="E24" s="45"/>
      <c r="F24" s="45"/>
      <c r="G24" s="44"/>
      <c r="H24" s="46"/>
      <c r="I24" s="47"/>
      <c r="J24" s="47"/>
      <c r="K24" s="46"/>
      <c r="L24" s="46"/>
      <c r="M24" s="48"/>
    </row>
    <row r="25" spans="2:13" ht="14.4" x14ac:dyDescent="0.3">
      <c r="B25" s="148" t="s">
        <v>63</v>
      </c>
      <c r="C25" s="149"/>
      <c r="D25" s="150">
        <v>3.2</v>
      </c>
      <c r="E25" s="151">
        <v>2</v>
      </c>
      <c r="F25" s="150">
        <v>2</v>
      </c>
      <c r="G25" s="152">
        <v>1</v>
      </c>
      <c r="H25" s="153"/>
      <c r="I25" s="154"/>
      <c r="J25" s="71">
        <f>G25*F25*E25*D25</f>
        <v>12.8</v>
      </c>
      <c r="K25" s="153"/>
      <c r="L25" s="155" t="s">
        <v>29</v>
      </c>
      <c r="M25" s="156">
        <f>J25</f>
        <v>12.8</v>
      </c>
    </row>
    <row r="26" spans="2:13" ht="14.4" x14ac:dyDescent="0.3">
      <c r="B26" s="74" t="s">
        <v>64</v>
      </c>
      <c r="C26" s="7"/>
      <c r="D26" s="31">
        <v>3.35</v>
      </c>
      <c r="E26" s="42">
        <v>3.05</v>
      </c>
      <c r="F26" s="31">
        <v>2</v>
      </c>
      <c r="G26" s="32">
        <v>1</v>
      </c>
      <c r="H26" s="33"/>
      <c r="I26" s="34"/>
      <c r="J26" s="34">
        <f t="shared" ref="J26:J46" si="2">G26*F26*E26*D26</f>
        <v>20.434999999999999</v>
      </c>
      <c r="K26" s="144"/>
      <c r="L26" s="146" t="s">
        <v>29</v>
      </c>
      <c r="M26" s="157">
        <f t="shared" ref="M26:M46" si="3">J26</f>
        <v>20.434999999999999</v>
      </c>
    </row>
    <row r="27" spans="2:13" ht="14.4" x14ac:dyDescent="0.3">
      <c r="B27" s="137" t="s">
        <v>65</v>
      </c>
      <c r="C27" s="8"/>
      <c r="D27" s="37">
        <v>3.5</v>
      </c>
      <c r="E27" s="49">
        <v>3.2</v>
      </c>
      <c r="F27" s="31">
        <v>2</v>
      </c>
      <c r="G27" s="38">
        <v>1</v>
      </c>
      <c r="H27" s="39"/>
      <c r="I27" s="40"/>
      <c r="J27" s="34">
        <f t="shared" si="2"/>
        <v>22.400000000000002</v>
      </c>
      <c r="K27" s="144"/>
      <c r="L27" s="146" t="s">
        <v>29</v>
      </c>
      <c r="M27" s="157">
        <f t="shared" si="3"/>
        <v>22.400000000000002</v>
      </c>
    </row>
    <row r="28" spans="2:13" ht="14.4" x14ac:dyDescent="0.3">
      <c r="B28" s="137" t="s">
        <v>66</v>
      </c>
      <c r="C28" s="8"/>
      <c r="D28" s="37">
        <v>3.2</v>
      </c>
      <c r="E28" s="49">
        <v>2.9</v>
      </c>
      <c r="F28" s="31">
        <v>2</v>
      </c>
      <c r="G28" s="38">
        <v>1</v>
      </c>
      <c r="H28" s="39"/>
      <c r="I28" s="40"/>
      <c r="J28" s="34">
        <f t="shared" ref="J28:J41" si="4">G28*F28*E28*D28</f>
        <v>18.559999999999999</v>
      </c>
      <c r="K28" s="144"/>
      <c r="L28" s="146" t="s">
        <v>29</v>
      </c>
      <c r="M28" s="157">
        <f t="shared" ref="M28:M41" si="5">J28</f>
        <v>18.559999999999999</v>
      </c>
    </row>
    <row r="29" spans="2:13" ht="14.4" x14ac:dyDescent="0.3">
      <c r="B29" s="137" t="s">
        <v>67</v>
      </c>
      <c r="C29" s="8"/>
      <c r="D29" s="37">
        <v>2.9</v>
      </c>
      <c r="E29" s="49">
        <v>2.6</v>
      </c>
      <c r="F29" s="31">
        <v>2</v>
      </c>
      <c r="G29" s="38">
        <v>1</v>
      </c>
      <c r="H29" s="39"/>
      <c r="I29" s="40"/>
      <c r="J29" s="34">
        <f t="shared" si="4"/>
        <v>15.08</v>
      </c>
      <c r="K29" s="144"/>
      <c r="L29" s="146" t="s">
        <v>29</v>
      </c>
      <c r="M29" s="157">
        <f t="shared" si="5"/>
        <v>15.08</v>
      </c>
    </row>
    <row r="30" spans="2:13" ht="14.4" x14ac:dyDescent="0.3">
      <c r="B30" s="137" t="s">
        <v>68</v>
      </c>
      <c r="C30" s="8"/>
      <c r="D30" s="37">
        <v>2.2000000000000002</v>
      </c>
      <c r="E30" s="49">
        <v>1.9</v>
      </c>
      <c r="F30" s="31">
        <v>2</v>
      </c>
      <c r="G30" s="38">
        <v>1</v>
      </c>
      <c r="H30" s="39"/>
      <c r="I30" s="40"/>
      <c r="J30" s="34">
        <f t="shared" si="4"/>
        <v>8.36</v>
      </c>
      <c r="K30" s="144"/>
      <c r="L30" s="146" t="s">
        <v>29</v>
      </c>
      <c r="M30" s="157">
        <f t="shared" si="5"/>
        <v>8.36</v>
      </c>
    </row>
    <row r="31" spans="2:13" ht="14.4" x14ac:dyDescent="0.3">
      <c r="B31" s="137" t="s">
        <v>69</v>
      </c>
      <c r="C31" s="8"/>
      <c r="D31" s="37">
        <v>4.55</v>
      </c>
      <c r="E31" s="49">
        <v>4.3</v>
      </c>
      <c r="F31" s="31">
        <v>2</v>
      </c>
      <c r="G31" s="38">
        <v>1</v>
      </c>
      <c r="H31" s="39"/>
      <c r="I31" s="40"/>
      <c r="J31" s="34">
        <f t="shared" si="4"/>
        <v>39.129999999999995</v>
      </c>
      <c r="K31" s="144"/>
      <c r="L31" s="146" t="s">
        <v>29</v>
      </c>
      <c r="M31" s="157">
        <f t="shared" si="5"/>
        <v>39.129999999999995</v>
      </c>
    </row>
    <row r="32" spans="2:13" ht="14.4" x14ac:dyDescent="0.3">
      <c r="B32" s="137" t="s">
        <v>70</v>
      </c>
      <c r="C32" s="8"/>
      <c r="D32" s="37">
        <v>4.6500000000000004</v>
      </c>
      <c r="E32" s="49">
        <v>4.8</v>
      </c>
      <c r="F32" s="31">
        <v>2</v>
      </c>
      <c r="G32" s="38">
        <v>1</v>
      </c>
      <c r="H32" s="39"/>
      <c r="I32" s="40"/>
      <c r="J32" s="34">
        <f t="shared" si="4"/>
        <v>44.64</v>
      </c>
      <c r="K32" s="144"/>
      <c r="L32" s="146" t="s">
        <v>29</v>
      </c>
      <c r="M32" s="157">
        <f t="shared" si="5"/>
        <v>44.64</v>
      </c>
    </row>
    <row r="33" spans="2:13" ht="14.4" x14ac:dyDescent="0.3">
      <c r="B33" s="137" t="s">
        <v>71</v>
      </c>
      <c r="C33" s="8"/>
      <c r="D33" s="37">
        <v>5.2</v>
      </c>
      <c r="E33" s="49">
        <v>4.95</v>
      </c>
      <c r="F33" s="31">
        <v>2</v>
      </c>
      <c r="G33" s="38">
        <v>1</v>
      </c>
      <c r="H33" s="39"/>
      <c r="I33" s="40"/>
      <c r="J33" s="34">
        <f t="shared" si="4"/>
        <v>51.480000000000004</v>
      </c>
      <c r="K33" s="144"/>
      <c r="L33" s="146" t="s">
        <v>29</v>
      </c>
      <c r="M33" s="157">
        <f t="shared" si="5"/>
        <v>51.480000000000004</v>
      </c>
    </row>
    <row r="34" spans="2:13" ht="14.4" x14ac:dyDescent="0.3">
      <c r="B34" s="137" t="s">
        <v>72</v>
      </c>
      <c r="C34" s="8"/>
      <c r="D34" s="37">
        <v>5.8</v>
      </c>
      <c r="E34" s="49">
        <v>5.55</v>
      </c>
      <c r="F34" s="31">
        <v>2</v>
      </c>
      <c r="G34" s="38">
        <v>1</v>
      </c>
      <c r="H34" s="39"/>
      <c r="I34" s="40"/>
      <c r="J34" s="34">
        <f t="shared" si="4"/>
        <v>64.38</v>
      </c>
      <c r="K34" s="144"/>
      <c r="L34" s="146" t="s">
        <v>29</v>
      </c>
      <c r="M34" s="157">
        <f t="shared" si="5"/>
        <v>64.38</v>
      </c>
    </row>
    <row r="35" spans="2:13" ht="14.4" x14ac:dyDescent="0.3">
      <c r="B35" s="137" t="s">
        <v>73</v>
      </c>
      <c r="C35" s="8"/>
      <c r="D35" s="37">
        <v>4.4000000000000004</v>
      </c>
      <c r="E35" s="49">
        <v>4.05</v>
      </c>
      <c r="F35" s="31">
        <v>2</v>
      </c>
      <c r="G35" s="38">
        <v>1</v>
      </c>
      <c r="H35" s="39"/>
      <c r="I35" s="40"/>
      <c r="J35" s="34">
        <f t="shared" si="4"/>
        <v>35.64</v>
      </c>
      <c r="K35" s="144"/>
      <c r="L35" s="146" t="s">
        <v>29</v>
      </c>
      <c r="M35" s="157">
        <f t="shared" si="5"/>
        <v>35.64</v>
      </c>
    </row>
    <row r="36" spans="2:13" ht="14.4" x14ac:dyDescent="0.3">
      <c r="B36" s="137" t="s">
        <v>74</v>
      </c>
      <c r="C36" s="8"/>
      <c r="D36" s="37">
        <v>2.5</v>
      </c>
      <c r="E36" s="49">
        <v>2.15</v>
      </c>
      <c r="F36" s="31">
        <v>2</v>
      </c>
      <c r="G36" s="38">
        <v>1</v>
      </c>
      <c r="H36" s="39"/>
      <c r="I36" s="40"/>
      <c r="J36" s="34">
        <f t="shared" si="4"/>
        <v>10.75</v>
      </c>
      <c r="K36" s="144"/>
      <c r="L36" s="146" t="s">
        <v>29</v>
      </c>
      <c r="M36" s="157">
        <f t="shared" si="5"/>
        <v>10.75</v>
      </c>
    </row>
    <row r="37" spans="2:13" ht="14.4" x14ac:dyDescent="0.3">
      <c r="B37" s="137" t="s">
        <v>75</v>
      </c>
      <c r="C37" s="8"/>
      <c r="D37" s="37">
        <v>3.3</v>
      </c>
      <c r="E37" s="49">
        <v>2.95</v>
      </c>
      <c r="F37" s="31">
        <v>2</v>
      </c>
      <c r="G37" s="38">
        <v>1</v>
      </c>
      <c r="H37" s="39"/>
      <c r="I37" s="40"/>
      <c r="J37" s="34">
        <f t="shared" si="4"/>
        <v>19.47</v>
      </c>
      <c r="K37" s="144"/>
      <c r="L37" s="146" t="s">
        <v>29</v>
      </c>
      <c r="M37" s="157">
        <f t="shared" si="5"/>
        <v>19.47</v>
      </c>
    </row>
    <row r="38" spans="2:13" ht="14.4" x14ac:dyDescent="0.3">
      <c r="B38" s="137" t="s">
        <v>76</v>
      </c>
      <c r="C38" s="8"/>
      <c r="D38" s="37">
        <v>2.2999999999999998</v>
      </c>
      <c r="E38" s="49">
        <v>2.2999999999999998</v>
      </c>
      <c r="F38" s="31">
        <v>2</v>
      </c>
      <c r="G38" s="38">
        <v>1</v>
      </c>
      <c r="H38" s="39"/>
      <c r="I38" s="40"/>
      <c r="J38" s="34">
        <f t="shared" si="4"/>
        <v>10.579999999999998</v>
      </c>
      <c r="K38" s="144"/>
      <c r="L38" s="146" t="s">
        <v>29</v>
      </c>
      <c r="M38" s="157">
        <f t="shared" si="5"/>
        <v>10.579999999999998</v>
      </c>
    </row>
    <row r="39" spans="2:13" ht="14.4" x14ac:dyDescent="0.3">
      <c r="B39" s="137" t="s">
        <v>77</v>
      </c>
      <c r="C39" s="8"/>
      <c r="D39" s="37">
        <v>2.4</v>
      </c>
      <c r="E39" s="49">
        <v>3.4</v>
      </c>
      <c r="F39" s="31">
        <v>2</v>
      </c>
      <c r="G39" s="38">
        <v>1</v>
      </c>
      <c r="H39" s="39"/>
      <c r="I39" s="40"/>
      <c r="J39" s="34">
        <f t="shared" si="4"/>
        <v>16.32</v>
      </c>
      <c r="K39" s="144"/>
      <c r="L39" s="146" t="s">
        <v>29</v>
      </c>
      <c r="M39" s="157">
        <f t="shared" si="5"/>
        <v>16.32</v>
      </c>
    </row>
    <row r="40" spans="2:13" ht="14.4" x14ac:dyDescent="0.3">
      <c r="B40" s="137" t="s">
        <v>78</v>
      </c>
      <c r="C40" s="8"/>
      <c r="D40" s="37">
        <v>3.35</v>
      </c>
      <c r="E40" s="49">
        <v>3.9</v>
      </c>
      <c r="F40" s="31">
        <v>2</v>
      </c>
      <c r="G40" s="38">
        <v>1</v>
      </c>
      <c r="H40" s="39"/>
      <c r="I40" s="40"/>
      <c r="J40" s="34">
        <f t="shared" si="4"/>
        <v>26.13</v>
      </c>
      <c r="K40" s="144"/>
      <c r="L40" s="146" t="s">
        <v>29</v>
      </c>
      <c r="M40" s="157">
        <f t="shared" si="5"/>
        <v>26.13</v>
      </c>
    </row>
    <row r="41" spans="2:13" ht="14.4" x14ac:dyDescent="0.3">
      <c r="B41" s="137" t="s">
        <v>79</v>
      </c>
      <c r="C41" s="8"/>
      <c r="D41" s="37">
        <v>4.3499999999999996</v>
      </c>
      <c r="E41" s="49">
        <v>4.0999999999999996</v>
      </c>
      <c r="F41" s="31">
        <v>2</v>
      </c>
      <c r="G41" s="38">
        <v>1</v>
      </c>
      <c r="H41" s="39"/>
      <c r="I41" s="40"/>
      <c r="J41" s="34">
        <f t="shared" si="4"/>
        <v>35.669999999999995</v>
      </c>
      <c r="K41" s="144"/>
      <c r="L41" s="146" t="s">
        <v>29</v>
      </c>
      <c r="M41" s="157">
        <f t="shared" si="5"/>
        <v>35.669999999999995</v>
      </c>
    </row>
    <row r="42" spans="2:13" ht="14.4" x14ac:dyDescent="0.3">
      <c r="B42" s="137" t="s">
        <v>80</v>
      </c>
      <c r="C42" s="8"/>
      <c r="D42" s="37">
        <v>4.1500000000000004</v>
      </c>
      <c r="E42" s="42">
        <v>3.9</v>
      </c>
      <c r="F42" s="31">
        <v>2</v>
      </c>
      <c r="G42" s="38">
        <v>1</v>
      </c>
      <c r="H42" s="33"/>
      <c r="I42" s="40"/>
      <c r="J42" s="34">
        <f t="shared" si="2"/>
        <v>32.370000000000005</v>
      </c>
      <c r="K42" s="144"/>
      <c r="L42" s="146" t="s">
        <v>29</v>
      </c>
      <c r="M42" s="157">
        <f t="shared" si="3"/>
        <v>32.370000000000005</v>
      </c>
    </row>
    <row r="43" spans="2:13" ht="14.4" x14ac:dyDescent="0.3">
      <c r="B43" s="137" t="s">
        <v>81</v>
      </c>
      <c r="C43" s="57"/>
      <c r="D43" s="58">
        <v>3.8</v>
      </c>
      <c r="E43" s="143">
        <v>3.5</v>
      </c>
      <c r="F43" s="31">
        <v>2</v>
      </c>
      <c r="G43" s="38">
        <v>1</v>
      </c>
      <c r="H43" s="144"/>
      <c r="I43" s="62"/>
      <c r="J43" s="34">
        <f t="shared" ref="J43:J45" si="6">G43*F43*E43*D43</f>
        <v>26.599999999999998</v>
      </c>
      <c r="K43" s="144"/>
      <c r="L43" s="146" t="s">
        <v>29</v>
      </c>
      <c r="M43" s="157">
        <f t="shared" ref="M43:M45" si="7">J43</f>
        <v>26.599999999999998</v>
      </c>
    </row>
    <row r="44" spans="2:13" ht="14.4" x14ac:dyDescent="0.3">
      <c r="B44" s="137" t="s">
        <v>82</v>
      </c>
      <c r="C44" s="7"/>
      <c r="D44" s="31">
        <v>2.4</v>
      </c>
      <c r="E44" s="42">
        <v>2.1</v>
      </c>
      <c r="F44" s="31">
        <v>2</v>
      </c>
      <c r="G44" s="38">
        <v>1</v>
      </c>
      <c r="H44" s="33"/>
      <c r="I44" s="34"/>
      <c r="J44" s="34">
        <f t="shared" si="6"/>
        <v>10.08</v>
      </c>
      <c r="K44" s="144"/>
      <c r="L44" s="146" t="s">
        <v>29</v>
      </c>
      <c r="M44" s="157">
        <f t="shared" si="7"/>
        <v>10.08</v>
      </c>
    </row>
    <row r="45" spans="2:13" ht="14.4" x14ac:dyDescent="0.3">
      <c r="B45" s="137" t="s">
        <v>83</v>
      </c>
      <c r="C45" s="57"/>
      <c r="D45" s="58">
        <v>2.0499999999999998</v>
      </c>
      <c r="E45" s="59">
        <v>2.0499999999999998</v>
      </c>
      <c r="F45" s="31">
        <v>2</v>
      </c>
      <c r="G45" s="38">
        <v>1</v>
      </c>
      <c r="H45" s="61"/>
      <c r="I45" s="62"/>
      <c r="J45" s="34">
        <f t="shared" si="6"/>
        <v>8.4049999999999994</v>
      </c>
      <c r="K45" s="144"/>
      <c r="L45" s="146" t="s">
        <v>29</v>
      </c>
      <c r="M45" s="157">
        <f t="shared" si="7"/>
        <v>8.4049999999999994</v>
      </c>
    </row>
    <row r="46" spans="2:13" ht="14.4" x14ac:dyDescent="0.3">
      <c r="B46" s="137" t="s">
        <v>84</v>
      </c>
      <c r="C46" s="7"/>
      <c r="D46" s="31">
        <v>2.0499999999999998</v>
      </c>
      <c r="E46" s="42">
        <v>1.75</v>
      </c>
      <c r="F46" s="31">
        <v>2</v>
      </c>
      <c r="G46" s="38">
        <v>1</v>
      </c>
      <c r="H46" s="33"/>
      <c r="I46" s="34"/>
      <c r="J46" s="34">
        <f t="shared" si="2"/>
        <v>7.1749999999999989</v>
      </c>
      <c r="K46" s="144"/>
      <c r="L46" s="146" t="s">
        <v>29</v>
      </c>
      <c r="M46" s="157">
        <f t="shared" si="3"/>
        <v>7.1749999999999989</v>
      </c>
    </row>
    <row r="47" spans="2:13" ht="14.4" x14ac:dyDescent="0.3">
      <c r="B47" s="74"/>
      <c r="C47" s="7"/>
      <c r="D47" s="31"/>
      <c r="E47" s="42"/>
      <c r="F47" s="31"/>
      <c r="G47" s="32"/>
      <c r="H47" s="33"/>
      <c r="I47" s="34"/>
      <c r="J47" s="34"/>
      <c r="K47" s="147"/>
      <c r="L47" s="35"/>
      <c r="M47" s="159"/>
    </row>
    <row r="48" spans="2:13" ht="15" thickBot="1" x14ac:dyDescent="0.35">
      <c r="B48" s="106" t="s">
        <v>97</v>
      </c>
      <c r="C48" s="76"/>
      <c r="D48" s="77"/>
      <c r="E48" s="107"/>
      <c r="F48" s="77"/>
      <c r="G48" s="79"/>
      <c r="H48" s="82"/>
      <c r="I48" s="81"/>
      <c r="J48" s="81"/>
      <c r="K48" s="82"/>
      <c r="L48" s="83" t="s">
        <v>29</v>
      </c>
      <c r="M48" s="84">
        <f>SUM(M25:M47)</f>
        <v>536.45499999999993</v>
      </c>
    </row>
    <row r="52" spans="2:8" x14ac:dyDescent="0.25">
      <c r="C52" s="22" t="s">
        <v>87</v>
      </c>
      <c r="D52" s="22"/>
      <c r="E52" s="22"/>
      <c r="F52" s="22"/>
    </row>
    <row r="53" spans="2:8" x14ac:dyDescent="0.25">
      <c r="C53" s="22"/>
    </row>
    <row r="54" spans="2:8" ht="13.8" thickBot="1" x14ac:dyDescent="0.3"/>
    <row r="55" spans="2:8" ht="13.8" thickBot="1" x14ac:dyDescent="0.3">
      <c r="B55" s="188" t="s">
        <v>93</v>
      </c>
      <c r="C55" s="188" t="s">
        <v>92</v>
      </c>
      <c r="D55" s="188" t="s">
        <v>88</v>
      </c>
      <c r="E55" s="188" t="s">
        <v>89</v>
      </c>
      <c r="F55" s="188" t="s">
        <v>90</v>
      </c>
      <c r="G55" s="184"/>
      <c r="H55" s="184"/>
    </row>
    <row r="56" spans="2:8" x14ac:dyDescent="0.25">
      <c r="B56" s="179">
        <f>M48</f>
        <v>536.45499999999993</v>
      </c>
      <c r="C56" s="180">
        <v>88.68</v>
      </c>
      <c r="D56" s="180">
        <v>3.13</v>
      </c>
      <c r="E56" s="180">
        <v>7.55</v>
      </c>
      <c r="F56" s="187">
        <f>B56-C56-D56-E56</f>
        <v>437.09499999999991</v>
      </c>
      <c r="G56" s="185"/>
      <c r="H56" s="186"/>
    </row>
    <row r="57" spans="2:8" x14ac:dyDescent="0.25">
      <c r="B57" s="179"/>
      <c r="C57" s="180"/>
      <c r="D57" s="180"/>
      <c r="E57" s="180"/>
      <c r="F57" s="187"/>
      <c r="G57" s="185"/>
      <c r="H57" s="185"/>
    </row>
    <row r="58" spans="2:8" ht="13.8" thickBot="1" x14ac:dyDescent="0.3">
      <c r="B58" s="179"/>
      <c r="C58" s="180"/>
      <c r="D58" s="180"/>
      <c r="E58" s="180"/>
      <c r="F58" s="187"/>
      <c r="G58" s="185"/>
      <c r="H58" s="185"/>
    </row>
    <row r="59" spans="2:8" ht="13.8" thickBot="1" x14ac:dyDescent="0.3">
      <c r="B59" s="181" t="s">
        <v>91</v>
      </c>
      <c r="C59" s="182"/>
      <c r="D59" s="182"/>
      <c r="E59" s="182"/>
      <c r="F59" s="183" t="s">
        <v>29</v>
      </c>
      <c r="G59" s="186"/>
      <c r="H59" s="186"/>
    </row>
    <row r="62" spans="2:8" x14ac:dyDescent="0.25">
      <c r="B62" s="22" t="s">
        <v>96</v>
      </c>
      <c r="D62" s="22"/>
      <c r="E62" s="22"/>
      <c r="F62" s="22"/>
    </row>
    <row r="63" spans="2:8" x14ac:dyDescent="0.25">
      <c r="C63" s="22"/>
    </row>
    <row r="64" spans="2:8" ht="13.8" thickBot="1" x14ac:dyDescent="0.3"/>
    <row r="65" spans="2:6" ht="13.8" thickBot="1" x14ac:dyDescent="0.3">
      <c r="B65" s="188" t="s">
        <v>94</v>
      </c>
      <c r="C65" s="188" t="s">
        <v>92</v>
      </c>
      <c r="D65" s="188" t="s">
        <v>88</v>
      </c>
      <c r="E65" s="188" t="s">
        <v>89</v>
      </c>
      <c r="F65" s="188" t="s">
        <v>94</v>
      </c>
    </row>
    <row r="66" spans="2:6" x14ac:dyDescent="0.25">
      <c r="B66" s="179"/>
      <c r="C66" s="180">
        <v>88.68</v>
      </c>
      <c r="D66" s="180">
        <v>3.13</v>
      </c>
      <c r="E66" s="180">
        <v>7.55</v>
      </c>
      <c r="F66" s="187">
        <f>D66+C66+E66</f>
        <v>99.36</v>
      </c>
    </row>
    <row r="67" spans="2:6" x14ac:dyDescent="0.25">
      <c r="B67" s="179"/>
      <c r="C67" s="180"/>
      <c r="D67" s="180"/>
      <c r="E67" s="180"/>
      <c r="F67" s="187"/>
    </row>
    <row r="68" spans="2:6" ht="13.8" thickBot="1" x14ac:dyDescent="0.3">
      <c r="B68" s="179"/>
      <c r="C68" s="180"/>
      <c r="D68" s="180"/>
      <c r="E68" s="180"/>
      <c r="F68" s="187"/>
    </row>
    <row r="69" spans="2:6" ht="13.8" thickBot="1" x14ac:dyDescent="0.3">
      <c r="B69" s="181" t="s">
        <v>91</v>
      </c>
      <c r="C69" s="182"/>
      <c r="D69" s="182"/>
      <c r="E69" s="182"/>
      <c r="F69" s="183" t="s">
        <v>29</v>
      </c>
    </row>
  </sheetData>
  <mergeCells count="6">
    <mergeCell ref="B8:B9"/>
    <mergeCell ref="L8:L9"/>
    <mergeCell ref="M8:M9"/>
    <mergeCell ref="B21:B22"/>
    <mergeCell ref="L21:L22"/>
    <mergeCell ref="M21:M22"/>
  </mergeCells>
  <dataValidations count="1">
    <dataValidation type="list" allowBlank="1" showInputMessage="1" showErrorMessage="1" sqref="H11 H8:H9 H24 H21:H22" xr:uid="{17272C70-BDB3-44FF-A332-DAD6E94EB2DA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CB1A-0940-4D48-A6EC-8CCC25D587BB}">
  <dimension ref="A2:M23"/>
  <sheetViews>
    <sheetView workbookViewId="0">
      <selection activeCell="D18" sqref="D18"/>
    </sheetView>
  </sheetViews>
  <sheetFormatPr defaultRowHeight="13.2" x14ac:dyDescent="0.25"/>
  <cols>
    <col min="2" max="2" width="35.77734375" customWidth="1"/>
    <col min="3" max="3" width="12.77734375" customWidth="1"/>
    <col min="4" max="4" width="15.77734375" customWidth="1"/>
    <col min="5" max="5" width="12.77734375" customWidth="1"/>
    <col min="6" max="6" width="15.77734375" customWidth="1"/>
    <col min="7" max="7" width="12.77734375" customWidth="1"/>
  </cols>
  <sheetData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  <c r="F4" s="17"/>
      <c r="G4" s="17"/>
      <c r="H4" s="17"/>
      <c r="I4" s="17"/>
      <c r="J4" s="17"/>
    </row>
    <row r="5" spans="1:13" ht="14.4" x14ac:dyDescent="0.25">
      <c r="B5" s="15"/>
      <c r="C5" s="16"/>
      <c r="D5" s="14"/>
      <c r="E5" s="17"/>
      <c r="F5" s="17"/>
      <c r="G5" s="17"/>
      <c r="H5" s="17"/>
      <c r="I5" s="17"/>
      <c r="J5" s="17"/>
    </row>
    <row r="6" spans="1:13" ht="14.4" x14ac:dyDescent="0.25">
      <c r="B6" s="15" t="s">
        <v>140</v>
      </c>
      <c r="C6" s="16"/>
      <c r="D6" s="14"/>
      <c r="E6" s="17"/>
      <c r="F6" s="17"/>
      <c r="G6" s="17"/>
      <c r="H6" s="17"/>
      <c r="I6" s="17"/>
      <c r="J6" s="17"/>
    </row>
    <row r="7" spans="1:13" ht="15.6" x14ac:dyDescent="0.25">
      <c r="B7" s="1" t="s">
        <v>131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5.6" x14ac:dyDescent="0.25">
      <c r="A10" s="14"/>
      <c r="B10" s="23"/>
      <c r="C10" s="24"/>
      <c r="D10" s="25"/>
      <c r="E10" s="24"/>
      <c r="F10" s="26"/>
      <c r="G10" s="27"/>
      <c r="H10" s="28"/>
      <c r="I10" s="28"/>
      <c r="J10" s="28"/>
      <c r="K10" s="28"/>
      <c r="L10" s="29"/>
      <c r="M10" s="30"/>
    </row>
    <row r="11" spans="1:13" ht="15" thickBot="1" x14ac:dyDescent="0.35">
      <c r="B11" s="43"/>
      <c r="C11" s="44"/>
      <c r="D11" s="45"/>
      <c r="E11" s="45"/>
      <c r="F11" s="45"/>
      <c r="G11" s="44"/>
      <c r="H11" s="46"/>
      <c r="I11" s="47"/>
      <c r="J11" s="47"/>
      <c r="K11" s="46"/>
      <c r="L11" s="46"/>
      <c r="M11" s="48"/>
    </row>
    <row r="12" spans="1:13" ht="14.4" x14ac:dyDescent="0.3">
      <c r="B12" s="148" t="s">
        <v>133</v>
      </c>
      <c r="C12" s="149"/>
      <c r="D12" s="150">
        <v>72</v>
      </c>
      <c r="E12" s="151"/>
      <c r="F12" s="150">
        <v>3</v>
      </c>
      <c r="G12" s="152">
        <v>1</v>
      </c>
      <c r="H12" s="153"/>
      <c r="I12" s="154"/>
      <c r="J12" s="71"/>
      <c r="K12" s="153"/>
      <c r="L12" s="233" t="s">
        <v>46</v>
      </c>
      <c r="M12" s="234">
        <f>G12*F12*D12</f>
        <v>216</v>
      </c>
    </row>
    <row r="13" spans="1:13" ht="14.4" x14ac:dyDescent="0.3">
      <c r="B13" s="74"/>
      <c r="C13" s="7"/>
      <c r="D13" s="31"/>
      <c r="E13" s="42"/>
      <c r="F13" s="31"/>
      <c r="G13" s="32"/>
      <c r="H13" s="33"/>
      <c r="I13" s="34"/>
      <c r="J13" s="34"/>
      <c r="K13" s="144"/>
      <c r="L13" s="146"/>
      <c r="M13" s="157"/>
    </row>
    <row r="14" spans="1:13" ht="14.4" x14ac:dyDescent="0.3">
      <c r="B14" s="137" t="s">
        <v>135</v>
      </c>
      <c r="C14" s="8"/>
      <c r="D14" s="37"/>
      <c r="E14" s="49"/>
      <c r="F14" s="37"/>
      <c r="G14" s="38"/>
      <c r="H14" s="39"/>
      <c r="I14" s="40"/>
      <c r="J14" s="34"/>
      <c r="K14" s="144"/>
      <c r="L14" s="146"/>
      <c r="M14" s="157"/>
    </row>
    <row r="15" spans="1:13" ht="14.4" x14ac:dyDescent="0.3">
      <c r="B15" s="137" t="s">
        <v>134</v>
      </c>
      <c r="C15" s="8"/>
      <c r="D15" s="37">
        <v>18</v>
      </c>
      <c r="E15" s="49">
        <v>0.25</v>
      </c>
      <c r="F15" s="37">
        <v>0.25</v>
      </c>
      <c r="G15" s="38">
        <v>1</v>
      </c>
      <c r="H15" s="39"/>
      <c r="I15" s="40"/>
      <c r="J15" s="34">
        <f>G15*F15*E15*D15</f>
        <v>1.125</v>
      </c>
      <c r="K15" s="144"/>
      <c r="L15" s="237" t="s">
        <v>29</v>
      </c>
      <c r="M15" s="236">
        <f>J15</f>
        <v>1.125</v>
      </c>
    </row>
    <row r="16" spans="1:13" ht="14.4" x14ac:dyDescent="0.3">
      <c r="B16" s="137" t="s">
        <v>136</v>
      </c>
      <c r="C16" s="8"/>
      <c r="D16" s="37">
        <v>18</v>
      </c>
      <c r="E16" s="49"/>
      <c r="F16" s="37">
        <v>0.75</v>
      </c>
      <c r="G16" s="38">
        <v>1</v>
      </c>
      <c r="H16" s="39">
        <f>G16*F16*D16</f>
        <v>13.5</v>
      </c>
      <c r="I16" s="40"/>
      <c r="J16" s="34"/>
      <c r="K16" s="144"/>
      <c r="L16" s="237" t="s">
        <v>3</v>
      </c>
      <c r="M16" s="236">
        <f>H16</f>
        <v>13.5</v>
      </c>
    </row>
    <row r="17" spans="2:13" ht="14.4" x14ac:dyDescent="0.3">
      <c r="B17" s="137" t="s">
        <v>137</v>
      </c>
      <c r="C17" s="8"/>
      <c r="D17" s="37"/>
      <c r="E17" s="49"/>
      <c r="F17" s="37"/>
      <c r="G17" s="38"/>
      <c r="H17" s="39"/>
      <c r="I17" s="40"/>
      <c r="J17" s="34"/>
      <c r="K17" s="144">
        <v>30</v>
      </c>
      <c r="L17" s="237" t="s">
        <v>108</v>
      </c>
      <c r="M17" s="236">
        <f>K17</f>
        <v>30</v>
      </c>
    </row>
    <row r="18" spans="2:13" ht="14.4" x14ac:dyDescent="0.3">
      <c r="B18" s="285"/>
      <c r="C18" s="8"/>
      <c r="D18" s="37"/>
      <c r="E18" s="42"/>
      <c r="F18" s="37"/>
      <c r="G18" s="38"/>
      <c r="H18" s="33"/>
      <c r="I18" s="40"/>
      <c r="J18" s="34"/>
      <c r="K18" s="144"/>
      <c r="L18" s="237"/>
      <c r="M18" s="236"/>
    </row>
    <row r="19" spans="2:13" ht="14.4" x14ac:dyDescent="0.3">
      <c r="B19" s="178" t="s">
        <v>138</v>
      </c>
      <c r="C19" s="7"/>
      <c r="D19" s="37"/>
      <c r="E19" s="42"/>
      <c r="F19" s="37"/>
      <c r="G19" s="38"/>
      <c r="H19" s="33"/>
      <c r="I19" s="40"/>
      <c r="J19" s="34"/>
      <c r="K19" s="144"/>
      <c r="L19" s="237"/>
      <c r="M19" s="236"/>
    </row>
    <row r="20" spans="2:13" ht="14.4" x14ac:dyDescent="0.3">
      <c r="B20" s="137" t="s">
        <v>134</v>
      </c>
      <c r="C20" s="8"/>
      <c r="D20" s="37">
        <v>18</v>
      </c>
      <c r="E20" s="49">
        <v>0.25</v>
      </c>
      <c r="F20" s="37">
        <v>1.5</v>
      </c>
      <c r="G20" s="38">
        <v>1</v>
      </c>
      <c r="H20" s="39"/>
      <c r="I20" s="40"/>
      <c r="J20" s="34">
        <f>G20*F20*E20*D20</f>
        <v>6.75</v>
      </c>
      <c r="K20" s="144"/>
      <c r="L20" s="237" t="s">
        <v>29</v>
      </c>
      <c r="M20" s="236">
        <f>J20</f>
        <v>6.75</v>
      </c>
    </row>
    <row r="21" spans="2:13" ht="14.4" x14ac:dyDescent="0.3">
      <c r="B21" s="137" t="s">
        <v>136</v>
      </c>
      <c r="C21" s="8"/>
      <c r="D21" s="37">
        <v>18</v>
      </c>
      <c r="E21" s="49"/>
      <c r="F21" s="37">
        <v>3.25</v>
      </c>
      <c r="G21" s="38">
        <v>1</v>
      </c>
      <c r="H21" s="39">
        <f>G21*F21*D21</f>
        <v>58.5</v>
      </c>
      <c r="I21" s="40"/>
      <c r="J21" s="34"/>
      <c r="K21" s="144"/>
      <c r="L21" s="237" t="s">
        <v>3</v>
      </c>
      <c r="M21" s="236">
        <f>H21</f>
        <v>58.5</v>
      </c>
    </row>
    <row r="22" spans="2:13" ht="14.4" x14ac:dyDescent="0.3">
      <c r="B22" s="137" t="s">
        <v>139</v>
      </c>
      <c r="C22" s="8"/>
      <c r="D22" s="37"/>
      <c r="E22" s="49"/>
      <c r="F22" s="37"/>
      <c r="G22" s="38"/>
      <c r="H22" s="39"/>
      <c r="I22" s="40"/>
      <c r="J22" s="34"/>
      <c r="K22" s="144">
        <v>62</v>
      </c>
      <c r="L22" s="237" t="s">
        <v>108</v>
      </c>
      <c r="M22" s="236">
        <f>K22</f>
        <v>62</v>
      </c>
    </row>
    <row r="23" spans="2:13" ht="14.4" x14ac:dyDescent="0.3">
      <c r="B23" s="7"/>
      <c r="C23" s="7"/>
      <c r="D23" s="31"/>
      <c r="E23" s="42"/>
      <c r="F23" s="31"/>
      <c r="G23" s="32"/>
      <c r="H23" s="33"/>
      <c r="I23" s="34"/>
      <c r="J23" s="34"/>
      <c r="K23" s="33"/>
      <c r="L23" s="35"/>
      <c r="M23" s="36"/>
    </row>
  </sheetData>
  <mergeCells count="3">
    <mergeCell ref="B8:B9"/>
    <mergeCell ref="L8:L9"/>
    <mergeCell ref="M8:M9"/>
  </mergeCells>
  <dataValidations count="1">
    <dataValidation type="list" allowBlank="1" showInputMessage="1" showErrorMessage="1" sqref="H11 H8:H9" xr:uid="{A494BFED-93E0-464B-BFFF-705E8FBD999A}">
      <formula1>"G,T,E,O"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5EF0-66B1-4F26-94DA-3077306558E7}">
  <dimension ref="A2:M24"/>
  <sheetViews>
    <sheetView topLeftCell="A6" workbookViewId="0">
      <selection activeCell="B15" sqref="B15"/>
    </sheetView>
  </sheetViews>
  <sheetFormatPr defaultRowHeight="13.2" x14ac:dyDescent="0.25"/>
  <cols>
    <col min="2" max="2" width="40.77734375" customWidth="1"/>
    <col min="3" max="7" width="14.77734375" customWidth="1"/>
  </cols>
  <sheetData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  <c r="F4" s="17"/>
      <c r="G4" s="17"/>
      <c r="H4" s="17"/>
      <c r="I4" s="17"/>
      <c r="J4" s="17"/>
    </row>
    <row r="5" spans="1:13" ht="14.4" x14ac:dyDescent="0.25">
      <c r="B5" s="15"/>
      <c r="C5" s="16"/>
      <c r="D5" s="14"/>
      <c r="E5" s="17"/>
      <c r="F5" s="17"/>
      <c r="G5" s="17"/>
      <c r="H5" s="17"/>
      <c r="I5" s="17"/>
      <c r="J5" s="17"/>
    </row>
    <row r="6" spans="1:13" ht="14.4" x14ac:dyDescent="0.25">
      <c r="B6" s="15" t="s">
        <v>143</v>
      </c>
      <c r="C6" s="16"/>
      <c r="D6" s="14"/>
      <c r="E6" s="17"/>
      <c r="F6" s="17"/>
      <c r="G6" s="17"/>
      <c r="H6" s="17"/>
      <c r="I6" s="17"/>
      <c r="J6" s="17"/>
    </row>
    <row r="7" spans="1:13" ht="15.6" x14ac:dyDescent="0.25">
      <c r="B7" s="1" t="s">
        <v>132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5.6" x14ac:dyDescent="0.25">
      <c r="A10" s="14"/>
      <c r="B10" s="23"/>
      <c r="C10" s="24"/>
      <c r="D10" s="25"/>
      <c r="E10" s="24"/>
      <c r="F10" s="26"/>
      <c r="G10" s="27"/>
      <c r="H10" s="28"/>
      <c r="I10" s="28"/>
      <c r="J10" s="28"/>
      <c r="K10" s="28"/>
      <c r="L10" s="29"/>
      <c r="M10" s="30"/>
    </row>
    <row r="11" spans="1:13" ht="15" thickBot="1" x14ac:dyDescent="0.35">
      <c r="B11" s="43"/>
      <c r="C11" s="44"/>
      <c r="D11" s="45"/>
      <c r="E11" s="45"/>
      <c r="F11" s="45"/>
      <c r="G11" s="44"/>
      <c r="H11" s="46"/>
      <c r="I11" s="47"/>
      <c r="J11" s="47"/>
      <c r="K11" s="46"/>
      <c r="L11" s="46"/>
      <c r="M11" s="48"/>
    </row>
    <row r="12" spans="1:13" ht="14.4" x14ac:dyDescent="0.3">
      <c r="B12" s="220" t="s">
        <v>142</v>
      </c>
      <c r="C12" s="149"/>
      <c r="D12" s="150">
        <v>364.5</v>
      </c>
      <c r="E12" s="151"/>
      <c r="F12" s="150"/>
      <c r="G12" s="152">
        <v>1</v>
      </c>
      <c r="H12" s="153"/>
      <c r="I12" s="154"/>
      <c r="J12" s="71"/>
      <c r="K12" s="153"/>
      <c r="L12" s="233" t="s">
        <v>46</v>
      </c>
      <c r="M12" s="234">
        <f>G12*D12</f>
        <v>364.5</v>
      </c>
    </row>
    <row r="13" spans="1:13" ht="14.4" x14ac:dyDescent="0.3">
      <c r="B13" s="74"/>
      <c r="C13" s="7"/>
      <c r="D13" s="31"/>
      <c r="E13" s="42"/>
      <c r="F13" s="31"/>
      <c r="G13" s="32"/>
      <c r="H13" s="33"/>
      <c r="I13" s="34"/>
      <c r="J13" s="34"/>
      <c r="K13" s="144"/>
      <c r="L13" s="146"/>
      <c r="M13" s="157"/>
    </row>
    <row r="14" spans="1:13" ht="14.4" x14ac:dyDescent="0.3">
      <c r="B14" s="137" t="s">
        <v>168</v>
      </c>
      <c r="C14" s="8"/>
      <c r="D14" s="37">
        <v>364.5</v>
      </c>
      <c r="E14" s="49">
        <v>0.85</v>
      </c>
      <c r="F14" s="37">
        <v>1.3</v>
      </c>
      <c r="G14" s="38">
        <v>1</v>
      </c>
      <c r="H14" s="39"/>
      <c r="I14" s="40"/>
      <c r="J14" s="34">
        <f>G14*F14*E14*D14</f>
        <v>402.77249999999998</v>
      </c>
      <c r="K14" s="144"/>
      <c r="L14" s="237" t="s">
        <v>29</v>
      </c>
      <c r="M14" s="236">
        <f>J14</f>
        <v>402.77249999999998</v>
      </c>
    </row>
    <row r="15" spans="1:13" ht="14.4" x14ac:dyDescent="0.3">
      <c r="B15" s="285" t="s">
        <v>144</v>
      </c>
      <c r="C15" s="8"/>
      <c r="D15" s="37">
        <v>364.5</v>
      </c>
      <c r="E15" s="49">
        <v>0.85</v>
      </c>
      <c r="F15" s="37">
        <v>1.3</v>
      </c>
      <c r="G15" s="38">
        <v>1</v>
      </c>
      <c r="H15" s="39"/>
      <c r="I15" s="40"/>
      <c r="J15" s="34">
        <f>G15*F15*E15*D15</f>
        <v>402.77249999999998</v>
      </c>
      <c r="K15" s="144"/>
      <c r="L15" s="237" t="s">
        <v>29</v>
      </c>
      <c r="M15" s="236">
        <f>J15</f>
        <v>402.77249999999998</v>
      </c>
    </row>
    <row r="16" spans="1:13" ht="28.8" x14ac:dyDescent="0.3">
      <c r="B16" s="288" t="s">
        <v>145</v>
      </c>
      <c r="C16" s="7"/>
      <c r="D16" s="37">
        <v>364.5</v>
      </c>
      <c r="E16" s="49">
        <v>0.85</v>
      </c>
      <c r="F16" s="37">
        <v>1.3</v>
      </c>
      <c r="G16" s="38">
        <v>1</v>
      </c>
      <c r="H16" s="39"/>
      <c r="I16" s="40"/>
      <c r="J16" s="34">
        <f>G16*F16*E16*D16</f>
        <v>402.77249999999998</v>
      </c>
      <c r="K16" s="144"/>
      <c r="L16" s="237" t="s">
        <v>29</v>
      </c>
      <c r="M16" s="236">
        <f>J16</f>
        <v>402.77249999999998</v>
      </c>
    </row>
    <row r="17" spans="2:13" ht="14.4" x14ac:dyDescent="0.3">
      <c r="B17" s="178" t="s">
        <v>146</v>
      </c>
      <c r="C17" s="7"/>
      <c r="D17" s="37">
        <v>364.5</v>
      </c>
      <c r="E17" s="42">
        <v>0.85</v>
      </c>
      <c r="F17" s="37"/>
      <c r="G17" s="38">
        <v>1</v>
      </c>
      <c r="H17" s="33">
        <f>G17*E17*D17</f>
        <v>309.82499999999999</v>
      </c>
      <c r="I17" s="40"/>
      <c r="J17" s="34"/>
      <c r="K17" s="144"/>
      <c r="L17" s="237" t="s">
        <v>3</v>
      </c>
      <c r="M17" s="236">
        <f>H17</f>
        <v>309.82499999999999</v>
      </c>
    </row>
    <row r="18" spans="2:13" ht="72" x14ac:dyDescent="0.3">
      <c r="B18" s="290" t="s">
        <v>147</v>
      </c>
      <c r="C18" s="7"/>
      <c r="D18" s="37">
        <v>364.5</v>
      </c>
      <c r="E18" s="42"/>
      <c r="F18" s="37"/>
      <c r="G18" s="38">
        <v>1</v>
      </c>
      <c r="H18" s="33"/>
      <c r="I18" s="40"/>
      <c r="J18" s="34"/>
      <c r="K18" s="144"/>
      <c r="L18" s="146" t="s">
        <v>46</v>
      </c>
      <c r="M18" s="157">
        <f>G18*D18</f>
        <v>364.5</v>
      </c>
    </row>
    <row r="19" spans="2:13" ht="14.4" x14ac:dyDescent="0.3">
      <c r="B19" s="178" t="s">
        <v>148</v>
      </c>
      <c r="C19" s="289">
        <v>11</v>
      </c>
      <c r="D19" s="37"/>
      <c r="E19" s="42"/>
      <c r="F19" s="37"/>
      <c r="G19" s="38">
        <v>1</v>
      </c>
      <c r="H19" s="33"/>
      <c r="I19" s="40"/>
      <c r="J19" s="34"/>
      <c r="K19" s="144"/>
      <c r="L19" s="146" t="s">
        <v>16</v>
      </c>
      <c r="M19" s="157">
        <f>G19*C19</f>
        <v>11</v>
      </c>
    </row>
    <row r="20" spans="2:13" ht="14.4" x14ac:dyDescent="0.3">
      <c r="B20" s="178" t="s">
        <v>150</v>
      </c>
      <c r="C20" s="289"/>
      <c r="D20" s="37">
        <v>364.5</v>
      </c>
      <c r="E20" s="42">
        <v>0.45</v>
      </c>
      <c r="F20" s="37">
        <v>0.5</v>
      </c>
      <c r="G20" s="38">
        <v>1</v>
      </c>
      <c r="H20" s="33"/>
      <c r="I20" s="40"/>
      <c r="J20" s="34">
        <f>G20*F20*E20*D20</f>
        <v>82.012500000000003</v>
      </c>
      <c r="K20" s="144"/>
      <c r="L20" s="237" t="s">
        <v>29</v>
      </c>
      <c r="M20" s="157">
        <f>J20</f>
        <v>82.012500000000003</v>
      </c>
    </row>
    <row r="21" spans="2:13" ht="14.4" x14ac:dyDescent="0.3">
      <c r="B21" s="178" t="s">
        <v>151</v>
      </c>
      <c r="C21" s="108"/>
      <c r="D21" s="37">
        <v>364.5</v>
      </c>
      <c r="E21" s="42">
        <v>0.85</v>
      </c>
      <c r="F21" s="37">
        <v>0.3</v>
      </c>
      <c r="G21" s="38">
        <v>1</v>
      </c>
      <c r="H21" s="33"/>
      <c r="I21" s="40"/>
      <c r="J21" s="34">
        <f>G21*F21*E21*D21</f>
        <v>92.947500000000005</v>
      </c>
      <c r="K21" s="144"/>
      <c r="L21" s="237" t="s">
        <v>29</v>
      </c>
      <c r="M21" s="157">
        <f>J21</f>
        <v>92.947500000000005</v>
      </c>
    </row>
    <row r="22" spans="2:13" ht="28.8" x14ac:dyDescent="0.3">
      <c r="B22" s="288" t="s">
        <v>149</v>
      </c>
      <c r="C22" s="7"/>
      <c r="D22" s="37"/>
      <c r="E22" s="42"/>
      <c r="F22" s="37"/>
      <c r="G22" s="38">
        <v>1</v>
      </c>
      <c r="H22" s="33"/>
      <c r="I22" s="40"/>
      <c r="J22" s="34">
        <f>M14-J21-J20</f>
        <v>227.8125</v>
      </c>
      <c r="K22" s="144"/>
      <c r="L22" s="237" t="s">
        <v>29</v>
      </c>
      <c r="M22" s="157">
        <f>J22</f>
        <v>227.8125</v>
      </c>
    </row>
    <row r="23" spans="2:13" ht="14.4" x14ac:dyDescent="0.3">
      <c r="B23" s="74"/>
      <c r="C23" s="7"/>
      <c r="D23" s="37"/>
      <c r="E23" s="42"/>
      <c r="F23" s="37"/>
      <c r="G23" s="38"/>
      <c r="H23" s="33"/>
      <c r="I23" s="40"/>
      <c r="J23" s="34"/>
      <c r="K23" s="144"/>
      <c r="L23" s="146"/>
      <c r="M23" s="157"/>
    </row>
    <row r="24" spans="2:13" ht="15" thickBot="1" x14ac:dyDescent="0.35">
      <c r="B24" s="229"/>
      <c r="C24" s="141"/>
      <c r="D24" s="142"/>
      <c r="E24" s="78"/>
      <c r="F24" s="142"/>
      <c r="G24" s="238"/>
      <c r="H24" s="80"/>
      <c r="I24" s="87"/>
      <c r="J24" s="87"/>
      <c r="K24" s="80"/>
      <c r="L24" s="218"/>
      <c r="M24" s="219"/>
    </row>
  </sheetData>
  <mergeCells count="3">
    <mergeCell ref="B8:B9"/>
    <mergeCell ref="L8:L9"/>
    <mergeCell ref="M8:M9"/>
  </mergeCells>
  <dataValidations count="1">
    <dataValidation type="list" allowBlank="1" showInputMessage="1" showErrorMessage="1" sqref="H11 H8:H9" xr:uid="{B0684C52-1AFB-48BC-A8F6-6CF51CB7024B}">
      <formula1>"G,T,E,O"</formula1>
    </dataValidation>
  </dataValidations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0EF0-5105-4A60-9747-2361D6670C95}">
  <dimension ref="A1:M30"/>
  <sheetViews>
    <sheetView workbookViewId="0">
      <selection activeCell="B6" sqref="B6"/>
    </sheetView>
  </sheetViews>
  <sheetFormatPr defaultRowHeight="13.2" x14ac:dyDescent="0.25"/>
  <cols>
    <col min="2" max="2" width="30.77734375" customWidth="1"/>
    <col min="3" max="3" width="12.77734375" customWidth="1"/>
    <col min="4" max="4" width="14.77734375" customWidth="1"/>
    <col min="5" max="7" width="12.77734375" customWidth="1"/>
  </cols>
  <sheetData>
    <row r="1" spans="1:13" ht="14.4" x14ac:dyDescent="0.25">
      <c r="A1" s="13" t="s">
        <v>17</v>
      </c>
      <c r="B1" s="100" t="s">
        <v>85</v>
      </c>
      <c r="C1" s="22"/>
      <c r="D1" s="22"/>
    </row>
    <row r="2" spans="1:13" ht="14.4" x14ac:dyDescent="0.25">
      <c r="A2" s="13" t="s">
        <v>18</v>
      </c>
      <c r="B2" s="100" t="s">
        <v>19</v>
      </c>
      <c r="C2" s="22"/>
      <c r="D2" s="22"/>
    </row>
    <row r="3" spans="1:13" ht="14.4" x14ac:dyDescent="0.25">
      <c r="B3" s="15" t="s">
        <v>39</v>
      </c>
      <c r="C3" s="16"/>
      <c r="D3" s="14"/>
      <c r="E3" s="17"/>
    </row>
    <row r="7" spans="1:13" ht="15.6" x14ac:dyDescent="0.25">
      <c r="B7" s="1" t="s">
        <v>98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6.2" thickBot="1" x14ac:dyDescent="0.3">
      <c r="B10" s="191"/>
      <c r="C10" s="192"/>
      <c r="D10" s="193"/>
      <c r="E10" s="192"/>
      <c r="F10" s="194"/>
      <c r="G10" s="195"/>
      <c r="H10" s="196"/>
      <c r="I10" s="196"/>
      <c r="J10" s="196"/>
      <c r="K10" s="196"/>
      <c r="L10" s="197"/>
      <c r="M10" s="198"/>
    </row>
    <row r="11" spans="1:13" ht="15" thickBot="1" x14ac:dyDescent="0.35">
      <c r="B11" s="199" t="s">
        <v>99</v>
      </c>
      <c r="C11" s="200"/>
      <c r="D11" s="201"/>
      <c r="E11" s="201"/>
      <c r="F11" s="201"/>
      <c r="G11" s="200"/>
      <c r="H11" s="202"/>
      <c r="I11" s="203"/>
      <c r="J11" s="203"/>
      <c r="K11" s="202"/>
      <c r="L11" s="202"/>
      <c r="M11" s="204"/>
    </row>
    <row r="12" spans="1:13" ht="14.4" x14ac:dyDescent="0.3">
      <c r="B12" s="148" t="s">
        <v>101</v>
      </c>
      <c r="C12" s="149"/>
      <c r="D12" s="150">
        <v>47.95</v>
      </c>
      <c r="E12" s="151">
        <v>3.97</v>
      </c>
      <c r="F12" s="150"/>
      <c r="G12" s="152">
        <v>1</v>
      </c>
      <c r="H12" s="153">
        <f>G12*E12*D12</f>
        <v>190.36150000000001</v>
      </c>
      <c r="I12" s="154"/>
      <c r="J12" s="169"/>
      <c r="K12" s="153"/>
      <c r="L12" s="155" t="s">
        <v>3</v>
      </c>
      <c r="M12" s="156">
        <f>H12</f>
        <v>190.36150000000001</v>
      </c>
    </row>
    <row r="13" spans="1:13" ht="14.4" x14ac:dyDescent="0.3">
      <c r="B13" s="74"/>
      <c r="C13" s="7"/>
      <c r="D13" s="31"/>
      <c r="E13" s="42"/>
      <c r="F13" s="31"/>
      <c r="G13" s="190"/>
      <c r="H13" s="33"/>
      <c r="I13" s="189"/>
      <c r="J13" s="34"/>
      <c r="K13" s="33"/>
      <c r="L13" s="35"/>
      <c r="M13" s="36"/>
    </row>
    <row r="14" spans="1:13" ht="14.4" x14ac:dyDescent="0.3">
      <c r="B14" s="137" t="s">
        <v>102</v>
      </c>
      <c r="C14" s="8"/>
      <c r="D14" s="37">
        <v>4.47</v>
      </c>
      <c r="E14" s="49">
        <v>0.8</v>
      </c>
      <c r="F14" s="37"/>
      <c r="G14" s="38">
        <v>1</v>
      </c>
      <c r="H14" s="61">
        <f>G14*E14*D14</f>
        <v>3.5760000000000001</v>
      </c>
      <c r="I14" s="40"/>
      <c r="J14" s="40"/>
      <c r="K14" s="61"/>
      <c r="L14" s="63" t="s">
        <v>3</v>
      </c>
      <c r="M14" s="177">
        <f>H14</f>
        <v>3.5760000000000001</v>
      </c>
    </row>
    <row r="15" spans="1:13" ht="14.4" x14ac:dyDescent="0.3">
      <c r="B15" s="74"/>
      <c r="C15" s="8"/>
      <c r="D15" s="37">
        <v>3.64</v>
      </c>
      <c r="E15" s="42">
        <v>3.76</v>
      </c>
      <c r="F15" s="37"/>
      <c r="G15" s="38">
        <v>1</v>
      </c>
      <c r="H15" s="31">
        <f>G15*E15*D15</f>
        <v>13.686399999999999</v>
      </c>
      <c r="I15" s="40"/>
      <c r="J15" s="34"/>
      <c r="K15" s="144"/>
      <c r="L15" s="35" t="s">
        <v>3</v>
      </c>
      <c r="M15" s="36">
        <f>H15</f>
        <v>13.686399999999999</v>
      </c>
    </row>
    <row r="16" spans="1:13" ht="14.4" x14ac:dyDescent="0.3">
      <c r="B16" s="158"/>
      <c r="C16" s="57"/>
      <c r="D16" s="58">
        <v>22.25</v>
      </c>
      <c r="E16" s="143">
        <v>2.17</v>
      </c>
      <c r="F16" s="58"/>
      <c r="G16" s="38">
        <v>1</v>
      </c>
      <c r="H16" s="31">
        <f t="shared" ref="H16:H17" si="0">G16*E16*D16</f>
        <v>48.282499999999999</v>
      </c>
      <c r="I16" s="40"/>
      <c r="J16" s="34"/>
      <c r="K16" s="144"/>
      <c r="L16" s="35" t="s">
        <v>3</v>
      </c>
      <c r="M16" s="36">
        <f t="shared" ref="M16:M17" si="1">H16</f>
        <v>48.282499999999999</v>
      </c>
    </row>
    <row r="17" spans="2:13" ht="14.4" x14ac:dyDescent="0.3">
      <c r="B17" s="158"/>
      <c r="C17" s="7"/>
      <c r="D17" s="31">
        <v>4.8899999999999997</v>
      </c>
      <c r="E17" s="143">
        <v>1.68</v>
      </c>
      <c r="F17" s="31"/>
      <c r="G17" s="38">
        <v>1</v>
      </c>
      <c r="H17" s="31">
        <f t="shared" si="0"/>
        <v>8.2151999999999994</v>
      </c>
      <c r="I17" s="40"/>
      <c r="J17" s="34"/>
      <c r="K17" s="144"/>
      <c r="L17" s="35" t="s">
        <v>3</v>
      </c>
      <c r="M17" s="36">
        <f t="shared" si="1"/>
        <v>8.2151999999999994</v>
      </c>
    </row>
    <row r="18" spans="2:13" ht="14.4" x14ac:dyDescent="0.3">
      <c r="B18" s="158"/>
      <c r="C18" s="57"/>
      <c r="D18" s="58"/>
      <c r="E18" s="143"/>
      <c r="F18" s="58"/>
      <c r="G18" s="60"/>
      <c r="H18" s="144"/>
      <c r="I18" s="62"/>
      <c r="J18" s="34"/>
      <c r="K18" s="144"/>
      <c r="L18" s="146"/>
      <c r="M18" s="157"/>
    </row>
    <row r="19" spans="2:13" ht="14.4" x14ac:dyDescent="0.3">
      <c r="B19" s="178" t="s">
        <v>103</v>
      </c>
      <c r="C19" s="7"/>
      <c r="D19" s="31">
        <v>6.76</v>
      </c>
      <c r="E19" s="42">
        <v>2.34</v>
      </c>
      <c r="F19" s="31"/>
      <c r="G19" s="167">
        <v>1</v>
      </c>
      <c r="H19" s="31">
        <f t="shared" ref="H19" si="2">G19*E19*D19</f>
        <v>15.818399999999999</v>
      </c>
      <c r="I19" s="34"/>
      <c r="J19" s="34"/>
      <c r="K19" s="144"/>
      <c r="L19" s="35" t="s">
        <v>3</v>
      </c>
      <c r="M19" s="36">
        <f t="shared" ref="M19" si="3">H19</f>
        <v>15.818399999999999</v>
      </c>
    </row>
    <row r="20" spans="2:13" ht="14.4" x14ac:dyDescent="0.3">
      <c r="B20" s="158"/>
      <c r="C20" s="57"/>
      <c r="D20" s="58"/>
      <c r="E20" s="59"/>
      <c r="F20" s="58"/>
      <c r="G20" s="60"/>
      <c r="H20" s="61"/>
      <c r="I20" s="62"/>
      <c r="J20" s="162"/>
      <c r="K20" s="144"/>
      <c r="L20" s="146"/>
      <c r="M20" s="157"/>
    </row>
    <row r="21" spans="2:13" ht="14.4" x14ac:dyDescent="0.3">
      <c r="B21" s="7" t="s">
        <v>104</v>
      </c>
      <c r="C21" s="7"/>
      <c r="D21" s="31"/>
      <c r="E21" s="42"/>
      <c r="F21" s="31"/>
      <c r="G21" s="32">
        <v>1</v>
      </c>
      <c r="H21" s="33">
        <v>56.15</v>
      </c>
      <c r="I21" s="34"/>
      <c r="J21" s="34"/>
      <c r="K21" s="144"/>
      <c r="L21" s="35" t="s">
        <v>3</v>
      </c>
      <c r="M21" s="36">
        <f t="shared" ref="M21:M22" si="4">H21</f>
        <v>56.15</v>
      </c>
    </row>
    <row r="22" spans="2:13" ht="14.4" x14ac:dyDescent="0.3">
      <c r="B22" s="7" t="s">
        <v>105</v>
      </c>
      <c r="C22" s="57"/>
      <c r="D22" s="58">
        <v>3.33</v>
      </c>
      <c r="E22" s="59">
        <v>2.56</v>
      </c>
      <c r="F22" s="58"/>
      <c r="G22" s="167">
        <v>1</v>
      </c>
      <c r="H22" s="31">
        <f t="shared" ref="H22" si="5">G22*E22*D22</f>
        <v>8.5248000000000008</v>
      </c>
      <c r="I22" s="34"/>
      <c r="J22" s="34"/>
      <c r="K22" s="144"/>
      <c r="L22" s="35" t="s">
        <v>3</v>
      </c>
      <c r="M22" s="36">
        <f t="shared" si="4"/>
        <v>8.5248000000000008</v>
      </c>
    </row>
    <row r="23" spans="2:13" ht="14.4" x14ac:dyDescent="0.3">
      <c r="B23" s="158"/>
      <c r="C23" s="7"/>
      <c r="D23" s="31"/>
      <c r="E23" s="42"/>
      <c r="F23" s="31"/>
      <c r="G23" s="32"/>
      <c r="H23" s="33"/>
      <c r="I23" s="34"/>
      <c r="J23" s="34"/>
      <c r="K23" s="144"/>
      <c r="L23" s="146"/>
      <c r="M23" s="157"/>
    </row>
    <row r="24" spans="2:13" ht="15" thickBot="1" x14ac:dyDescent="0.35">
      <c r="B24" s="158"/>
      <c r="C24" s="57"/>
      <c r="D24" s="58"/>
      <c r="E24" s="59"/>
      <c r="F24" s="58"/>
      <c r="G24" s="60"/>
      <c r="H24" s="61"/>
      <c r="I24" s="62"/>
      <c r="J24" s="162"/>
      <c r="K24" s="144"/>
      <c r="L24" s="146"/>
      <c r="M24" s="157"/>
    </row>
    <row r="25" spans="2:13" ht="15" thickBot="1" x14ac:dyDescent="0.35">
      <c r="B25" s="199" t="s">
        <v>100</v>
      </c>
      <c r="C25" s="200"/>
      <c r="D25" s="201"/>
      <c r="E25" s="201"/>
      <c r="F25" s="201"/>
      <c r="G25" s="200"/>
      <c r="H25" s="202"/>
      <c r="I25" s="203"/>
      <c r="J25" s="203"/>
      <c r="K25" s="202"/>
      <c r="L25" s="202"/>
      <c r="M25" s="204"/>
    </row>
    <row r="26" spans="2:13" ht="14.4" x14ac:dyDescent="0.3">
      <c r="B26" s="164"/>
      <c r="C26" s="8"/>
      <c r="D26" s="37"/>
      <c r="E26" s="49"/>
      <c r="F26" s="37"/>
      <c r="G26" s="38"/>
      <c r="H26" s="39"/>
      <c r="I26" s="40"/>
      <c r="J26" s="40"/>
      <c r="K26" s="61"/>
      <c r="L26" s="63"/>
      <c r="M26" s="177"/>
    </row>
    <row r="27" spans="2:13" ht="14.4" x14ac:dyDescent="0.3">
      <c r="B27" s="158"/>
      <c r="C27" s="57"/>
      <c r="D27" s="58">
        <v>14.88</v>
      </c>
      <c r="E27" s="59">
        <v>3.85</v>
      </c>
      <c r="F27" s="58"/>
      <c r="G27" s="60">
        <v>1</v>
      </c>
      <c r="H27" s="31">
        <f t="shared" ref="H27" si="6">G27*E27*D27</f>
        <v>57.288000000000004</v>
      </c>
      <c r="I27" s="34"/>
      <c r="J27" s="34"/>
      <c r="K27" s="144"/>
      <c r="L27" s="35" t="s">
        <v>3</v>
      </c>
      <c r="M27" s="36">
        <f t="shared" ref="M27" si="7">H27</f>
        <v>57.288000000000004</v>
      </c>
    </row>
    <row r="28" spans="2:13" ht="14.4" x14ac:dyDescent="0.3">
      <c r="B28" s="158"/>
      <c r="C28" s="7"/>
      <c r="D28" s="31"/>
      <c r="E28" s="42"/>
      <c r="F28" s="31"/>
      <c r="G28" s="32"/>
      <c r="H28" s="33"/>
      <c r="I28" s="34"/>
      <c r="J28" s="34"/>
      <c r="K28" s="144"/>
      <c r="L28" s="146"/>
      <c r="M28" s="157"/>
    </row>
    <row r="29" spans="2:13" ht="14.4" x14ac:dyDescent="0.3">
      <c r="B29" s="158"/>
      <c r="C29" s="57"/>
      <c r="D29" s="58"/>
      <c r="E29" s="59"/>
      <c r="F29" s="58"/>
      <c r="G29" s="60"/>
      <c r="H29" s="61"/>
      <c r="I29" s="62"/>
      <c r="J29" s="34"/>
      <c r="K29" s="144"/>
      <c r="L29" s="146"/>
      <c r="M29" s="157"/>
    </row>
    <row r="30" spans="2:13" ht="15" thickBot="1" x14ac:dyDescent="0.35">
      <c r="B30" s="205" t="s">
        <v>91</v>
      </c>
      <c r="C30" s="206"/>
      <c r="D30" s="207"/>
      <c r="E30" s="208"/>
      <c r="F30" s="207"/>
      <c r="G30" s="209"/>
      <c r="H30" s="210"/>
      <c r="I30" s="207"/>
      <c r="J30" s="207"/>
      <c r="K30" s="210"/>
      <c r="L30" s="211" t="s">
        <v>3</v>
      </c>
      <c r="M30" s="212">
        <f>SUM(M12:M29)</f>
        <v>401.90280000000001</v>
      </c>
    </row>
  </sheetData>
  <mergeCells count="3">
    <mergeCell ref="B8:B9"/>
    <mergeCell ref="L8:L9"/>
    <mergeCell ref="M8:M9"/>
  </mergeCells>
  <dataValidations count="1">
    <dataValidation type="list" allowBlank="1" showInputMessage="1" showErrorMessage="1" sqref="H11 H8:H9 H25" xr:uid="{B02646EC-801D-4930-A6FD-1A24AA628CC5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E511-D005-4E3C-A0B2-F838C613AD9D}">
  <dimension ref="A1:M48"/>
  <sheetViews>
    <sheetView topLeftCell="A34" workbookViewId="0">
      <selection activeCell="M60" sqref="M60"/>
    </sheetView>
  </sheetViews>
  <sheetFormatPr defaultRowHeight="13.2" x14ac:dyDescent="0.25"/>
  <cols>
    <col min="2" max="2" width="20.77734375" customWidth="1"/>
    <col min="3" max="3" width="12.77734375" customWidth="1"/>
    <col min="4" max="4" width="15.77734375" customWidth="1"/>
    <col min="5" max="5" width="12.77734375" customWidth="1"/>
    <col min="6" max="6" width="14.77734375" customWidth="1"/>
    <col min="7" max="7" width="12.77734375" customWidth="1"/>
  </cols>
  <sheetData>
    <row r="1" spans="1:13" ht="14.4" x14ac:dyDescent="0.25">
      <c r="A1" s="13" t="s">
        <v>17</v>
      </c>
      <c r="B1" s="100" t="s">
        <v>85</v>
      </c>
      <c r="C1" s="22"/>
      <c r="D1" s="22"/>
    </row>
    <row r="2" spans="1:13" ht="14.4" x14ac:dyDescent="0.25">
      <c r="A2" s="13" t="s">
        <v>18</v>
      </c>
      <c r="B2" s="100" t="s">
        <v>19</v>
      </c>
      <c r="C2" s="22"/>
      <c r="D2" s="22"/>
    </row>
    <row r="3" spans="1:13" ht="14.4" x14ac:dyDescent="0.25">
      <c r="B3" s="15" t="s">
        <v>39</v>
      </c>
      <c r="C3" s="16"/>
      <c r="D3" s="14"/>
      <c r="E3" s="17"/>
    </row>
    <row r="7" spans="1:13" ht="15.6" x14ac:dyDescent="0.25">
      <c r="B7" s="1" t="s">
        <v>106</v>
      </c>
      <c r="C7" s="2"/>
      <c r="D7" s="3"/>
      <c r="E7" s="3"/>
      <c r="F7" s="3"/>
      <c r="G7" s="2"/>
      <c r="H7" s="4"/>
      <c r="I7" s="5"/>
      <c r="J7" s="5"/>
      <c r="K7" s="4"/>
      <c r="L7" s="4"/>
      <c r="M7" s="6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6.2" thickBot="1" x14ac:dyDescent="0.3">
      <c r="B10" s="191"/>
      <c r="C10" s="192"/>
      <c r="D10" s="193"/>
      <c r="E10" s="192"/>
      <c r="F10" s="194"/>
      <c r="G10" s="195"/>
      <c r="H10" s="196"/>
      <c r="I10" s="196"/>
      <c r="J10" s="196"/>
      <c r="K10" s="196"/>
      <c r="L10" s="197"/>
      <c r="M10" s="198"/>
    </row>
    <row r="11" spans="1:13" ht="15" thickBot="1" x14ac:dyDescent="0.35">
      <c r="B11" s="199" t="s">
        <v>110</v>
      </c>
      <c r="C11" s="200"/>
      <c r="D11" s="201"/>
      <c r="E11" s="201"/>
      <c r="F11" s="201"/>
      <c r="G11" s="200"/>
      <c r="H11" s="202"/>
      <c r="I11" s="203"/>
      <c r="J11" s="203"/>
      <c r="K11" s="202"/>
      <c r="L11" s="202"/>
      <c r="M11" s="204"/>
    </row>
    <row r="12" spans="1:13" ht="14.4" x14ac:dyDescent="0.3">
      <c r="A12" s="14" t="s">
        <v>112</v>
      </c>
      <c r="B12" s="148" t="s">
        <v>111</v>
      </c>
      <c r="C12" s="149"/>
      <c r="D12" s="150">
        <v>9.64</v>
      </c>
      <c r="E12" s="151">
        <v>5.8280000000000003</v>
      </c>
      <c r="F12" s="150"/>
      <c r="G12" s="152">
        <v>1</v>
      </c>
      <c r="H12" s="153"/>
      <c r="I12" s="154"/>
      <c r="J12" s="169"/>
      <c r="K12" s="153"/>
      <c r="L12" s="155" t="s">
        <v>3</v>
      </c>
      <c r="M12" s="156">
        <f>G12*E12*D12</f>
        <v>56.181920000000005</v>
      </c>
    </row>
    <row r="13" spans="1:13" ht="14.4" x14ac:dyDescent="0.3">
      <c r="B13" s="74"/>
      <c r="C13" s="7"/>
      <c r="D13" s="31">
        <v>14.95</v>
      </c>
      <c r="E13" s="42">
        <v>4.6399999999999997</v>
      </c>
      <c r="F13" s="31"/>
      <c r="G13" s="190">
        <v>1</v>
      </c>
      <c r="H13" s="31"/>
      <c r="I13" s="189"/>
      <c r="J13" s="34"/>
      <c r="K13" s="33"/>
      <c r="L13" s="35" t="s">
        <v>3</v>
      </c>
      <c r="M13" s="159">
        <f>G13*E13*D13</f>
        <v>69.367999999999995</v>
      </c>
    </row>
    <row r="14" spans="1:13" ht="15" thickBot="1" x14ac:dyDescent="0.35">
      <c r="B14" s="163" t="s">
        <v>113</v>
      </c>
      <c r="C14" s="76"/>
      <c r="D14" s="77"/>
      <c r="E14" s="107"/>
      <c r="F14" s="77"/>
      <c r="G14" s="79"/>
      <c r="H14" s="82"/>
      <c r="I14" s="81"/>
      <c r="J14" s="81"/>
      <c r="K14" s="82"/>
      <c r="L14" s="83" t="s">
        <v>3</v>
      </c>
      <c r="M14" s="84">
        <f>SUM(M12:M13)</f>
        <v>125.54992</v>
      </c>
    </row>
    <row r="15" spans="1:13" ht="15" thickBot="1" x14ac:dyDescent="0.35">
      <c r="B15" s="161"/>
      <c r="C15" s="57"/>
      <c r="D15" s="58"/>
      <c r="E15" s="59"/>
      <c r="F15" s="58"/>
      <c r="G15" s="60"/>
      <c r="H15" s="58"/>
      <c r="I15" s="62"/>
      <c r="J15" s="62"/>
      <c r="K15" s="61"/>
      <c r="L15" s="63"/>
      <c r="M15" s="64"/>
    </row>
    <row r="16" spans="1:13" ht="28.8" x14ac:dyDescent="0.3">
      <c r="B16" s="148" t="s">
        <v>114</v>
      </c>
      <c r="C16" s="149"/>
      <c r="D16" s="150">
        <v>21.02</v>
      </c>
      <c r="E16" s="151">
        <v>17.88</v>
      </c>
      <c r="F16" s="150"/>
      <c r="G16" s="214">
        <v>1</v>
      </c>
      <c r="H16" s="67"/>
      <c r="I16" s="71"/>
      <c r="J16" s="71"/>
      <c r="K16" s="153"/>
      <c r="L16" s="72" t="s">
        <v>3</v>
      </c>
      <c r="M16" s="228">
        <f t="shared" ref="M16:M19" si="0">G16*E16*D16</f>
        <v>375.83759999999995</v>
      </c>
    </row>
    <row r="17" spans="1:13" ht="14.4" x14ac:dyDescent="0.3">
      <c r="B17" s="158"/>
      <c r="C17" s="7"/>
      <c r="D17" s="31">
        <v>29.91</v>
      </c>
      <c r="E17" s="143">
        <v>7.452</v>
      </c>
      <c r="F17" s="31"/>
      <c r="G17" s="190">
        <v>1</v>
      </c>
      <c r="H17" s="31"/>
      <c r="I17" s="40"/>
      <c r="J17" s="34"/>
      <c r="K17" s="144"/>
      <c r="L17" s="35" t="s">
        <v>3</v>
      </c>
      <c r="M17" s="159">
        <f t="shared" si="0"/>
        <v>222.88932</v>
      </c>
    </row>
    <row r="18" spans="1:13" ht="14.4" x14ac:dyDescent="0.3">
      <c r="B18" s="158"/>
      <c r="C18" s="57"/>
      <c r="D18" s="58">
        <v>25.76</v>
      </c>
      <c r="E18" s="143">
        <v>4.6399999999999997</v>
      </c>
      <c r="F18" s="58"/>
      <c r="G18" s="190">
        <v>1</v>
      </c>
      <c r="H18" s="144"/>
      <c r="I18" s="62"/>
      <c r="J18" s="34"/>
      <c r="K18" s="144"/>
      <c r="L18" s="146" t="s">
        <v>3</v>
      </c>
      <c r="M18" s="159">
        <f t="shared" si="0"/>
        <v>119.5264</v>
      </c>
    </row>
    <row r="19" spans="1:13" ht="15" thickBot="1" x14ac:dyDescent="0.35">
      <c r="B19" s="178"/>
      <c r="C19" s="225"/>
      <c r="D19" s="223">
        <v>13.98</v>
      </c>
      <c r="E19" s="143">
        <v>13.2</v>
      </c>
      <c r="F19" s="223"/>
      <c r="G19" s="226">
        <v>1</v>
      </c>
      <c r="H19" s="223"/>
      <c r="I19" s="162"/>
      <c r="J19" s="162"/>
      <c r="K19" s="144"/>
      <c r="L19" s="146" t="s">
        <v>3</v>
      </c>
      <c r="M19" s="227">
        <f t="shared" si="0"/>
        <v>184.536</v>
      </c>
    </row>
    <row r="20" spans="1:13" ht="15" thickBot="1" x14ac:dyDescent="0.35">
      <c r="B20" s="224" t="s">
        <v>115</v>
      </c>
      <c r="C20" s="51"/>
      <c r="D20" s="52"/>
      <c r="E20" s="53"/>
      <c r="F20" s="52"/>
      <c r="G20" s="54"/>
      <c r="H20" s="55"/>
      <c r="I20" s="56"/>
      <c r="J20" s="56"/>
      <c r="K20" s="55"/>
      <c r="L20" s="90" t="s">
        <v>3</v>
      </c>
      <c r="M20" s="91">
        <f>SUM(M16:M19)</f>
        <v>902.78931999999986</v>
      </c>
    </row>
    <row r="21" spans="1:13" ht="14.4" x14ac:dyDescent="0.3">
      <c r="B21" s="65" t="s">
        <v>116</v>
      </c>
      <c r="C21" s="66"/>
      <c r="D21" s="150">
        <v>21.02</v>
      </c>
      <c r="E21" s="151">
        <v>17.88</v>
      </c>
      <c r="F21" s="150"/>
      <c r="G21" s="214">
        <v>1</v>
      </c>
      <c r="H21" s="67"/>
      <c r="I21" s="71"/>
      <c r="J21" s="71"/>
      <c r="K21" s="153"/>
      <c r="L21" s="72" t="s">
        <v>3</v>
      </c>
      <c r="M21" s="228">
        <f t="shared" ref="M21:M24" si="1">G21*E21*D21</f>
        <v>375.83759999999995</v>
      </c>
    </row>
    <row r="22" spans="1:13" ht="14.4" x14ac:dyDescent="0.3">
      <c r="B22" s="74"/>
      <c r="C22" s="7"/>
      <c r="D22" s="31">
        <v>29.91</v>
      </c>
      <c r="E22" s="143">
        <v>7.452</v>
      </c>
      <c r="F22" s="31"/>
      <c r="G22" s="190">
        <v>1</v>
      </c>
      <c r="H22" s="31"/>
      <c r="I22" s="40"/>
      <c r="J22" s="34"/>
      <c r="K22" s="144"/>
      <c r="L22" s="35" t="s">
        <v>3</v>
      </c>
      <c r="M22" s="159">
        <f t="shared" si="1"/>
        <v>222.88932</v>
      </c>
    </row>
    <row r="23" spans="1:13" ht="14.4" x14ac:dyDescent="0.3">
      <c r="B23" s="74"/>
      <c r="C23" s="7"/>
      <c r="D23" s="58">
        <v>25.76</v>
      </c>
      <c r="E23" s="143">
        <v>4.6399999999999997</v>
      </c>
      <c r="F23" s="58"/>
      <c r="G23" s="190">
        <v>1</v>
      </c>
      <c r="H23" s="31"/>
      <c r="I23" s="62"/>
      <c r="J23" s="34"/>
      <c r="K23" s="144"/>
      <c r="L23" s="146" t="s">
        <v>3</v>
      </c>
      <c r="M23" s="159">
        <f t="shared" si="1"/>
        <v>119.5264</v>
      </c>
    </row>
    <row r="24" spans="1:13" ht="15" thickBot="1" x14ac:dyDescent="0.35">
      <c r="B24" s="229"/>
      <c r="C24" s="141"/>
      <c r="D24" s="142">
        <v>13.98</v>
      </c>
      <c r="E24" s="78">
        <v>13.2</v>
      </c>
      <c r="F24" s="142"/>
      <c r="G24" s="230">
        <v>1</v>
      </c>
      <c r="H24" s="142"/>
      <c r="I24" s="87"/>
      <c r="J24" s="87"/>
      <c r="K24" s="80"/>
      <c r="L24" s="218" t="s">
        <v>3</v>
      </c>
      <c r="M24" s="231">
        <f t="shared" si="1"/>
        <v>184.536</v>
      </c>
    </row>
    <row r="25" spans="1:13" ht="15" thickBot="1" x14ac:dyDescent="0.35">
      <c r="B25" s="224" t="s">
        <v>117</v>
      </c>
      <c r="C25" s="51"/>
      <c r="D25" s="52"/>
      <c r="E25" s="53"/>
      <c r="F25" s="52"/>
      <c r="G25" s="54"/>
      <c r="H25" s="55"/>
      <c r="I25" s="56"/>
      <c r="J25" s="56"/>
      <c r="K25" s="55"/>
      <c r="L25" s="90" t="s">
        <v>3</v>
      </c>
      <c r="M25" s="91">
        <f>SUM(M21:M24)</f>
        <v>902.78931999999986</v>
      </c>
    </row>
    <row r="26" spans="1:13" ht="15" thickBot="1" x14ac:dyDescent="0.35">
      <c r="B26" s="164"/>
      <c r="C26" s="57"/>
      <c r="D26" s="58"/>
      <c r="E26" s="59"/>
      <c r="F26" s="58"/>
      <c r="G26" s="60"/>
      <c r="H26" s="61"/>
      <c r="I26" s="62"/>
      <c r="J26" s="62"/>
      <c r="K26" s="61"/>
      <c r="L26" s="63"/>
      <c r="M26" s="177"/>
    </row>
    <row r="27" spans="1:13" ht="15" thickBot="1" x14ac:dyDescent="0.35">
      <c r="B27" s="199"/>
      <c r="C27" s="200"/>
      <c r="D27" s="201"/>
      <c r="E27" s="201"/>
      <c r="F27" s="201"/>
      <c r="G27" s="200"/>
      <c r="H27" s="202"/>
      <c r="I27" s="203"/>
      <c r="J27" s="203"/>
      <c r="K27" s="202"/>
      <c r="L27" s="202"/>
      <c r="M27" s="204"/>
    </row>
    <row r="28" spans="1:13" ht="14.4" x14ac:dyDescent="0.3">
      <c r="B28" s="232" t="s">
        <v>109</v>
      </c>
      <c r="C28" s="66"/>
      <c r="D28" s="67">
        <f>29.91+18.78+7.452+22.54+15.16+13.85+13.2</f>
        <v>120.89199999999998</v>
      </c>
      <c r="E28" s="68"/>
      <c r="F28" s="67">
        <v>1</v>
      </c>
      <c r="G28" s="69">
        <v>1</v>
      </c>
      <c r="H28" s="70">
        <f>G28*F28*D28</f>
        <v>120.89199999999998</v>
      </c>
      <c r="I28" s="71"/>
      <c r="J28" s="71"/>
      <c r="K28" s="153"/>
      <c r="L28" s="233" t="s">
        <v>3</v>
      </c>
      <c r="M28" s="234">
        <f>H28</f>
        <v>120.89199999999998</v>
      </c>
    </row>
    <row r="29" spans="1:13" ht="15" thickBot="1" x14ac:dyDescent="0.35">
      <c r="B29" s="89"/>
      <c r="C29" s="76"/>
      <c r="D29" s="77"/>
      <c r="E29" s="107"/>
      <c r="F29" s="77"/>
      <c r="G29" s="79"/>
      <c r="H29" s="142"/>
      <c r="I29" s="87"/>
      <c r="J29" s="87"/>
      <c r="K29" s="80"/>
      <c r="L29" s="218"/>
      <c r="M29" s="219"/>
    </row>
    <row r="30" spans="1:13" ht="15" thickBot="1" x14ac:dyDescent="0.35">
      <c r="B30" s="164" t="s">
        <v>106</v>
      </c>
      <c r="C30" s="8" t="s">
        <v>120</v>
      </c>
      <c r="D30" s="37"/>
      <c r="E30" s="49"/>
      <c r="F30" s="37"/>
      <c r="G30" s="38"/>
      <c r="H30" s="39"/>
      <c r="I30" s="62"/>
      <c r="J30" s="40"/>
      <c r="K30" s="61"/>
      <c r="L30" s="63"/>
      <c r="M30" s="177"/>
    </row>
    <row r="31" spans="1:13" ht="15" thickBot="1" x14ac:dyDescent="0.35">
      <c r="B31" s="158" t="s">
        <v>118</v>
      </c>
      <c r="C31" s="57"/>
      <c r="D31" s="58"/>
      <c r="E31" s="59"/>
      <c r="F31" s="58"/>
      <c r="G31" s="60"/>
      <c r="H31" s="61"/>
      <c r="I31" s="88"/>
      <c r="J31" s="189"/>
      <c r="K31" s="144"/>
      <c r="L31" s="146"/>
      <c r="M31" s="157"/>
    </row>
    <row r="32" spans="1:13" ht="14.4" x14ac:dyDescent="0.3">
      <c r="A32" s="14" t="s">
        <v>119</v>
      </c>
      <c r="B32" s="74"/>
      <c r="C32" s="7"/>
      <c r="D32" s="31">
        <v>63.65</v>
      </c>
      <c r="E32" s="143">
        <v>15.55</v>
      </c>
      <c r="F32" s="31"/>
      <c r="G32" s="190">
        <v>1</v>
      </c>
      <c r="H32" s="31"/>
      <c r="I32" s="40"/>
      <c r="J32" s="34"/>
      <c r="K32" s="144"/>
      <c r="L32" s="35" t="s">
        <v>3</v>
      </c>
      <c r="M32" s="159">
        <f t="shared" ref="M32:M34" si="2">G32*E32*D32</f>
        <v>989.75750000000005</v>
      </c>
    </row>
    <row r="33" spans="1:13" ht="14.4" x14ac:dyDescent="0.3">
      <c r="A33" s="14" t="s">
        <v>121</v>
      </c>
      <c r="B33" s="74"/>
      <c r="C33" s="7"/>
      <c r="D33" s="58">
        <v>3.01</v>
      </c>
      <c r="E33" s="143">
        <v>2.6949999999999998</v>
      </c>
      <c r="F33" s="58"/>
      <c r="G33" s="190">
        <v>1</v>
      </c>
      <c r="H33" s="31"/>
      <c r="I33" s="62"/>
      <c r="J33" s="34"/>
      <c r="K33" s="144"/>
      <c r="L33" s="146" t="s">
        <v>3</v>
      </c>
      <c r="M33" s="159">
        <f t="shared" si="2"/>
        <v>8.1119499999999984</v>
      </c>
    </row>
    <row r="34" spans="1:13" ht="15" thickBot="1" x14ac:dyDescent="0.35">
      <c r="B34" s="229"/>
      <c r="C34" s="141"/>
      <c r="D34" s="142">
        <v>47.22</v>
      </c>
      <c r="E34" s="78">
        <v>14.507999999999999</v>
      </c>
      <c r="F34" s="142"/>
      <c r="G34" s="230">
        <v>1</v>
      </c>
      <c r="H34" s="142"/>
      <c r="I34" s="87"/>
      <c r="J34" s="87"/>
      <c r="K34" s="80"/>
      <c r="L34" s="218" t="s">
        <v>3</v>
      </c>
      <c r="M34" s="231">
        <f t="shared" si="2"/>
        <v>685.06775999999991</v>
      </c>
    </row>
    <row r="35" spans="1:13" ht="14.4" x14ac:dyDescent="0.3">
      <c r="B35" s="74" t="s">
        <v>113</v>
      </c>
      <c r="C35" s="7"/>
      <c r="D35" s="31"/>
      <c r="E35" s="143"/>
      <c r="F35" s="31"/>
      <c r="G35" s="190"/>
      <c r="H35" s="31"/>
      <c r="I35" s="40"/>
      <c r="J35" s="34"/>
      <c r="K35" s="144"/>
      <c r="L35" s="239" t="s">
        <v>3</v>
      </c>
      <c r="M35" s="240">
        <f>SUM(M32:M34)</f>
        <v>1682.9372100000001</v>
      </c>
    </row>
    <row r="36" spans="1:13" ht="14.4" x14ac:dyDescent="0.3">
      <c r="B36" s="74"/>
      <c r="C36" s="7"/>
      <c r="D36" s="58"/>
      <c r="E36" s="143"/>
      <c r="F36" s="58"/>
      <c r="G36" s="190"/>
      <c r="H36" s="31"/>
      <c r="I36" s="62"/>
      <c r="J36" s="34"/>
      <c r="K36" s="144"/>
      <c r="L36" s="146"/>
      <c r="M36" s="159"/>
    </row>
    <row r="37" spans="1:13" ht="15" thickBot="1" x14ac:dyDescent="0.35">
      <c r="B37" s="229"/>
      <c r="C37" s="141"/>
      <c r="D37" s="142"/>
      <c r="E37" s="78"/>
      <c r="F37" s="142"/>
      <c r="G37" s="230"/>
      <c r="H37" s="142"/>
      <c r="I37" s="87"/>
      <c r="J37" s="87"/>
      <c r="K37" s="80"/>
      <c r="L37" s="218"/>
      <c r="M37" s="231"/>
    </row>
    <row r="38" spans="1:13" ht="13.8" thickBot="1" x14ac:dyDescent="0.3"/>
    <row r="39" spans="1:13" ht="13.8" thickBot="1" x14ac:dyDescent="0.3">
      <c r="B39" s="244" t="s">
        <v>122</v>
      </c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6"/>
    </row>
    <row r="40" spans="1:13" ht="13.8" thickBot="1" x14ac:dyDescent="0.3">
      <c r="B40" s="244" t="s">
        <v>106</v>
      </c>
      <c r="C40" s="247" t="s">
        <v>124</v>
      </c>
      <c r="D40" s="247"/>
      <c r="E40" s="247"/>
      <c r="F40" s="247"/>
      <c r="G40" s="247"/>
      <c r="H40" s="247"/>
      <c r="I40" s="247"/>
      <c r="J40" s="247"/>
      <c r="K40" s="247"/>
      <c r="L40" s="247" t="s">
        <v>3</v>
      </c>
      <c r="M40" s="248">
        <f>M35</f>
        <v>1682.9372100000001</v>
      </c>
    </row>
    <row r="41" spans="1:13" ht="13.8" thickBot="1" x14ac:dyDescent="0.3"/>
    <row r="42" spans="1:13" ht="13.8" thickBot="1" x14ac:dyDescent="0.3">
      <c r="B42" s="244" t="s">
        <v>106</v>
      </c>
      <c r="C42" s="247" t="s">
        <v>123</v>
      </c>
      <c r="D42" s="245"/>
      <c r="E42" s="245"/>
      <c r="F42" s="245"/>
      <c r="G42" s="245"/>
      <c r="H42" s="245"/>
      <c r="I42" s="245"/>
      <c r="J42" s="245"/>
      <c r="K42" s="245"/>
      <c r="L42" s="247" t="s">
        <v>3</v>
      </c>
      <c r="M42" s="248">
        <f>M14</f>
        <v>125.54992</v>
      </c>
    </row>
    <row r="43" spans="1:13" ht="13.8" thickBot="1" x14ac:dyDescent="0.3"/>
    <row r="44" spans="1:13" ht="13.8" thickBot="1" x14ac:dyDescent="0.3">
      <c r="B44" s="244" t="s">
        <v>109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7" t="s">
        <v>3</v>
      </c>
      <c r="M44" s="248">
        <f>M28</f>
        <v>120.89199999999998</v>
      </c>
    </row>
    <row r="45" spans="1:13" ht="13.8" thickBot="1" x14ac:dyDescent="0.3">
      <c r="L45" s="243"/>
      <c r="M45" s="243"/>
    </row>
    <row r="46" spans="1:13" ht="13.8" thickBot="1" x14ac:dyDescent="0.3">
      <c r="B46" s="244" t="s">
        <v>125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7" t="s">
        <v>3</v>
      </c>
      <c r="M46" s="248">
        <f>M20</f>
        <v>902.78931999999986</v>
      </c>
    </row>
    <row r="47" spans="1:13" ht="13.8" thickBot="1" x14ac:dyDescent="0.3"/>
    <row r="48" spans="1:13" ht="13.8" thickBot="1" x14ac:dyDescent="0.3">
      <c r="B48" s="244" t="s">
        <v>116</v>
      </c>
      <c r="C48" s="247"/>
      <c r="D48" s="247"/>
      <c r="E48" s="247"/>
      <c r="F48" s="247"/>
      <c r="G48" s="247"/>
      <c r="H48" s="247"/>
      <c r="I48" s="247"/>
      <c r="J48" s="247"/>
      <c r="K48" s="247"/>
      <c r="L48" s="247" t="s">
        <v>3</v>
      </c>
      <c r="M48" s="248">
        <f>M25</f>
        <v>902.78931999999986</v>
      </c>
    </row>
  </sheetData>
  <mergeCells count="3">
    <mergeCell ref="B8:B9"/>
    <mergeCell ref="L8:L9"/>
    <mergeCell ref="M8:M9"/>
  </mergeCells>
  <dataValidations count="1">
    <dataValidation type="list" allowBlank="1" showInputMessage="1" showErrorMessage="1" sqref="H11 H8:H9 H27" xr:uid="{50A62208-947D-4220-8F3B-90408B9C2013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56C7-FF16-4CBC-AFF3-707011C2F864}">
  <dimension ref="A1:M34"/>
  <sheetViews>
    <sheetView workbookViewId="0">
      <selection activeCell="A2" sqref="A2:N20"/>
    </sheetView>
  </sheetViews>
  <sheetFormatPr defaultRowHeight="13.2" x14ac:dyDescent="0.25"/>
  <cols>
    <col min="2" max="7" width="14.77734375" customWidth="1"/>
  </cols>
  <sheetData>
    <row r="1" spans="1:13" x14ac:dyDescent="0.25">
      <c r="A1" s="14"/>
    </row>
    <row r="2" spans="1:13" ht="14.4" x14ac:dyDescent="0.25">
      <c r="A2" s="13" t="s">
        <v>17</v>
      </c>
      <c r="B2" s="100" t="s">
        <v>85</v>
      </c>
      <c r="C2" s="22"/>
      <c r="D2" s="22"/>
    </row>
    <row r="3" spans="1:13" ht="14.4" x14ac:dyDescent="0.25">
      <c r="A3" s="13" t="s">
        <v>18</v>
      </c>
      <c r="B3" s="100" t="s">
        <v>19</v>
      </c>
      <c r="C3" s="22"/>
      <c r="D3" s="22"/>
    </row>
    <row r="4" spans="1:13" ht="14.4" x14ac:dyDescent="0.25">
      <c r="B4" s="15" t="s">
        <v>39</v>
      </c>
      <c r="C4" s="16"/>
      <c r="D4" s="14"/>
      <c r="E4" s="17"/>
    </row>
    <row r="6" spans="1:13" ht="14.4" x14ac:dyDescent="0.25">
      <c r="B6" s="15" t="s">
        <v>239</v>
      </c>
      <c r="C6" s="16"/>
      <c r="D6" s="14"/>
    </row>
    <row r="7" spans="1:13" ht="14.4" x14ac:dyDescent="0.25">
      <c r="B7" s="570" t="s">
        <v>1</v>
      </c>
      <c r="C7" s="10" t="s">
        <v>0</v>
      </c>
      <c r="D7" s="9" t="s">
        <v>12</v>
      </c>
      <c r="E7" s="9" t="s">
        <v>4</v>
      </c>
      <c r="F7" s="9" t="s">
        <v>38</v>
      </c>
      <c r="G7" s="9" t="s">
        <v>6</v>
      </c>
      <c r="H7" s="12" t="s">
        <v>5</v>
      </c>
      <c r="I7" s="11" t="s">
        <v>13</v>
      </c>
      <c r="J7" s="11" t="s">
        <v>26</v>
      </c>
      <c r="K7" s="12" t="s">
        <v>14</v>
      </c>
      <c r="L7" s="570" t="s">
        <v>7</v>
      </c>
      <c r="M7" s="572" t="s">
        <v>8</v>
      </c>
    </row>
    <row r="8" spans="1:13" ht="14.4" x14ac:dyDescent="0.3">
      <c r="B8" s="571"/>
      <c r="C8" s="18" t="s">
        <v>9</v>
      </c>
      <c r="D8" s="19" t="s">
        <v>10</v>
      </c>
      <c r="E8" s="19" t="s">
        <v>10</v>
      </c>
      <c r="F8" s="19" t="s">
        <v>10</v>
      </c>
      <c r="G8" s="18" t="s">
        <v>9</v>
      </c>
      <c r="H8" s="20" t="s">
        <v>11</v>
      </c>
      <c r="I8" s="21" t="s">
        <v>11</v>
      </c>
      <c r="J8" s="21" t="s">
        <v>27</v>
      </c>
      <c r="K8" s="20" t="s">
        <v>15</v>
      </c>
      <c r="L8" s="571"/>
      <c r="M8" s="573"/>
    </row>
    <row r="9" spans="1:13" ht="15.6" x14ac:dyDescent="0.25">
      <c r="B9" s="23" t="s">
        <v>86</v>
      </c>
      <c r="C9" s="24"/>
      <c r="D9" s="25"/>
      <c r="E9" s="24"/>
      <c r="F9" s="26"/>
      <c r="G9" s="27"/>
      <c r="H9" s="28"/>
      <c r="I9" s="28"/>
      <c r="J9" s="28"/>
      <c r="K9" s="28"/>
      <c r="L9" s="29"/>
      <c r="M9" s="30"/>
    </row>
    <row r="10" spans="1:13" ht="15" thickBot="1" x14ac:dyDescent="0.35">
      <c r="B10" s="43"/>
      <c r="C10" s="44"/>
      <c r="D10" s="45"/>
      <c r="E10" s="45"/>
      <c r="F10" s="45"/>
      <c r="G10" s="44"/>
      <c r="H10" s="46"/>
      <c r="I10" s="47"/>
      <c r="J10" s="47"/>
      <c r="K10" s="46"/>
      <c r="L10" s="46"/>
      <c r="M10" s="48"/>
    </row>
    <row r="11" spans="1:13" ht="14.4" x14ac:dyDescent="0.3">
      <c r="B11" s="148" t="s">
        <v>63</v>
      </c>
      <c r="C11" s="149"/>
      <c r="D11" s="150">
        <v>2.25</v>
      </c>
      <c r="E11" s="151">
        <v>2.0499999999999998</v>
      </c>
      <c r="F11" s="150">
        <v>0.05</v>
      </c>
      <c r="G11" s="152">
        <v>1</v>
      </c>
      <c r="H11" s="153"/>
      <c r="I11" s="154"/>
      <c r="J11" s="71">
        <f>G11*F11*E11*D11</f>
        <v>0.230625</v>
      </c>
      <c r="K11" s="153"/>
      <c r="L11" s="155" t="s">
        <v>29</v>
      </c>
      <c r="M11" s="156">
        <f>J11</f>
        <v>0.230625</v>
      </c>
    </row>
    <row r="12" spans="1:13" ht="14.4" x14ac:dyDescent="0.3">
      <c r="B12" s="74" t="s">
        <v>64</v>
      </c>
      <c r="C12" s="7"/>
      <c r="D12" s="31">
        <v>2.4</v>
      </c>
      <c r="E12" s="42">
        <v>2.1</v>
      </c>
      <c r="F12" s="31">
        <v>0.05</v>
      </c>
      <c r="G12" s="32">
        <v>1</v>
      </c>
      <c r="H12" s="33"/>
      <c r="I12" s="34"/>
      <c r="J12" s="34">
        <f t="shared" ref="J12:J32" si="0">G12*F12*E12*D12</f>
        <v>0.252</v>
      </c>
      <c r="K12" s="144"/>
      <c r="L12" s="146" t="s">
        <v>29</v>
      </c>
      <c r="M12" s="157">
        <f t="shared" ref="M12:M32" si="1">J12</f>
        <v>0.252</v>
      </c>
    </row>
    <row r="13" spans="1:13" ht="14.4" x14ac:dyDescent="0.3">
      <c r="B13" s="137" t="s">
        <v>65</v>
      </c>
      <c r="C13" s="8"/>
      <c r="D13" s="37">
        <v>2.5499999999999998</v>
      </c>
      <c r="E13" s="49">
        <v>2.25</v>
      </c>
      <c r="F13" s="31">
        <v>0.05</v>
      </c>
      <c r="G13" s="38">
        <v>1</v>
      </c>
      <c r="H13" s="39"/>
      <c r="I13" s="40"/>
      <c r="J13" s="34">
        <f t="shared" si="0"/>
        <v>0.28687499999999999</v>
      </c>
      <c r="K13" s="144"/>
      <c r="L13" s="146" t="s">
        <v>29</v>
      </c>
      <c r="M13" s="157">
        <f t="shared" si="1"/>
        <v>0.28687499999999999</v>
      </c>
    </row>
    <row r="14" spans="1:13" ht="14.4" x14ac:dyDescent="0.3">
      <c r="B14" s="137" t="s">
        <v>66</v>
      </c>
      <c r="C14" s="8"/>
      <c r="D14" s="37">
        <v>2.25</v>
      </c>
      <c r="E14" s="49">
        <v>1.95</v>
      </c>
      <c r="F14" s="31">
        <v>0.05</v>
      </c>
      <c r="G14" s="38">
        <v>1</v>
      </c>
      <c r="H14" s="39"/>
      <c r="I14" s="40"/>
      <c r="J14" s="34">
        <f t="shared" si="0"/>
        <v>0.21937500000000001</v>
      </c>
      <c r="K14" s="144"/>
      <c r="L14" s="146" t="s">
        <v>29</v>
      </c>
      <c r="M14" s="157">
        <f t="shared" si="1"/>
        <v>0.21937500000000001</v>
      </c>
    </row>
    <row r="15" spans="1:13" ht="14.4" x14ac:dyDescent="0.3">
      <c r="B15" s="137" t="s">
        <v>67</v>
      </c>
      <c r="C15" s="8"/>
      <c r="D15" s="37">
        <v>1.95</v>
      </c>
      <c r="E15" s="49">
        <v>1.65</v>
      </c>
      <c r="F15" s="31">
        <v>0.05</v>
      </c>
      <c r="G15" s="38">
        <v>1</v>
      </c>
      <c r="H15" s="39"/>
      <c r="I15" s="40"/>
      <c r="J15" s="34">
        <f t="shared" si="0"/>
        <v>0.16087499999999999</v>
      </c>
      <c r="K15" s="144"/>
      <c r="L15" s="146" t="s">
        <v>29</v>
      </c>
      <c r="M15" s="157">
        <f t="shared" si="1"/>
        <v>0.16087499999999999</v>
      </c>
    </row>
    <row r="16" spans="1:13" ht="14.4" x14ac:dyDescent="0.3">
      <c r="B16" s="137" t="s">
        <v>68</v>
      </c>
      <c r="C16" s="8"/>
      <c r="D16" s="37">
        <v>1.25</v>
      </c>
      <c r="E16" s="49">
        <v>0.95</v>
      </c>
      <c r="F16" s="31">
        <v>0.05</v>
      </c>
      <c r="G16" s="38">
        <v>1</v>
      </c>
      <c r="H16" s="39"/>
      <c r="I16" s="40"/>
      <c r="J16" s="34">
        <f t="shared" si="0"/>
        <v>5.9374999999999997E-2</v>
      </c>
      <c r="K16" s="144"/>
      <c r="L16" s="146" t="s">
        <v>29</v>
      </c>
      <c r="M16" s="157">
        <f t="shared" si="1"/>
        <v>5.9374999999999997E-2</v>
      </c>
    </row>
    <row r="17" spans="2:13" ht="14.4" x14ac:dyDescent="0.3">
      <c r="B17" s="137" t="s">
        <v>69</v>
      </c>
      <c r="C17" s="8"/>
      <c r="D17" s="37">
        <v>3.6</v>
      </c>
      <c r="E17" s="49">
        <v>3.35</v>
      </c>
      <c r="F17" s="31">
        <v>0.05</v>
      </c>
      <c r="G17" s="38">
        <v>1</v>
      </c>
      <c r="H17" s="39"/>
      <c r="I17" s="40"/>
      <c r="J17" s="34">
        <f t="shared" si="0"/>
        <v>0.60300000000000009</v>
      </c>
      <c r="K17" s="144"/>
      <c r="L17" s="146" t="s">
        <v>29</v>
      </c>
      <c r="M17" s="157">
        <f t="shared" si="1"/>
        <v>0.60300000000000009</v>
      </c>
    </row>
    <row r="18" spans="2:13" ht="14.4" x14ac:dyDescent="0.3">
      <c r="B18" s="137" t="s">
        <v>70</v>
      </c>
      <c r="C18" s="8"/>
      <c r="D18" s="37">
        <v>3.7</v>
      </c>
      <c r="E18" s="49">
        <v>3.85</v>
      </c>
      <c r="F18" s="31">
        <v>0.05</v>
      </c>
      <c r="G18" s="38">
        <v>1</v>
      </c>
      <c r="H18" s="39"/>
      <c r="I18" s="40"/>
      <c r="J18" s="34">
        <f t="shared" si="0"/>
        <v>0.71225000000000005</v>
      </c>
      <c r="K18" s="144"/>
      <c r="L18" s="146" t="s">
        <v>29</v>
      </c>
      <c r="M18" s="157">
        <f t="shared" si="1"/>
        <v>0.71225000000000005</v>
      </c>
    </row>
    <row r="19" spans="2:13" ht="14.4" x14ac:dyDescent="0.3">
      <c r="B19" s="137" t="s">
        <v>71</v>
      </c>
      <c r="C19" s="8"/>
      <c r="D19" s="37">
        <v>4.25</v>
      </c>
      <c r="E19" s="49">
        <v>4</v>
      </c>
      <c r="F19" s="31">
        <v>0.05</v>
      </c>
      <c r="G19" s="38">
        <v>1</v>
      </c>
      <c r="H19" s="39"/>
      <c r="I19" s="40"/>
      <c r="J19" s="34">
        <f t="shared" si="0"/>
        <v>0.85000000000000009</v>
      </c>
      <c r="K19" s="144"/>
      <c r="L19" s="146" t="s">
        <v>29</v>
      </c>
      <c r="M19" s="157">
        <f t="shared" si="1"/>
        <v>0.85000000000000009</v>
      </c>
    </row>
    <row r="20" spans="2:13" ht="14.4" x14ac:dyDescent="0.3">
      <c r="B20" s="137" t="s">
        <v>72</v>
      </c>
      <c r="C20" s="8"/>
      <c r="D20" s="37">
        <v>4.9000000000000004</v>
      </c>
      <c r="E20" s="49">
        <v>4.5999999999999996</v>
      </c>
      <c r="F20" s="31">
        <v>0.05</v>
      </c>
      <c r="G20" s="38">
        <v>1</v>
      </c>
      <c r="H20" s="39"/>
      <c r="I20" s="40"/>
      <c r="J20" s="34">
        <f t="shared" si="0"/>
        <v>1.127</v>
      </c>
      <c r="K20" s="144"/>
      <c r="L20" s="146" t="s">
        <v>29</v>
      </c>
      <c r="M20" s="157">
        <f t="shared" si="1"/>
        <v>1.127</v>
      </c>
    </row>
    <row r="21" spans="2:13" ht="14.4" x14ac:dyDescent="0.3">
      <c r="B21" s="137" t="s">
        <v>73</v>
      </c>
      <c r="C21" s="8"/>
      <c r="D21" s="37">
        <v>3.45</v>
      </c>
      <c r="E21" s="49">
        <v>3.1</v>
      </c>
      <c r="F21" s="31">
        <v>0.05</v>
      </c>
      <c r="G21" s="38">
        <v>1</v>
      </c>
      <c r="H21" s="39"/>
      <c r="I21" s="40"/>
      <c r="J21" s="34">
        <f t="shared" si="0"/>
        <v>0.53475000000000017</v>
      </c>
      <c r="K21" s="144"/>
      <c r="L21" s="146" t="s">
        <v>29</v>
      </c>
      <c r="M21" s="157">
        <f t="shared" si="1"/>
        <v>0.53475000000000017</v>
      </c>
    </row>
    <row r="22" spans="2:13" ht="14.4" x14ac:dyDescent="0.3">
      <c r="B22" s="137" t="s">
        <v>74</v>
      </c>
      <c r="C22" s="8"/>
      <c r="D22" s="37">
        <v>1.55</v>
      </c>
      <c r="E22" s="49">
        <v>1.2</v>
      </c>
      <c r="F22" s="31">
        <v>0.05</v>
      </c>
      <c r="G22" s="38">
        <v>1</v>
      </c>
      <c r="H22" s="39"/>
      <c r="I22" s="40"/>
      <c r="J22" s="34">
        <f t="shared" si="0"/>
        <v>9.2999999999999999E-2</v>
      </c>
      <c r="K22" s="144"/>
      <c r="L22" s="146" t="s">
        <v>29</v>
      </c>
      <c r="M22" s="157">
        <f t="shared" si="1"/>
        <v>9.2999999999999999E-2</v>
      </c>
    </row>
    <row r="23" spans="2:13" ht="14.4" x14ac:dyDescent="0.3">
      <c r="B23" s="137" t="s">
        <v>75</v>
      </c>
      <c r="C23" s="8"/>
      <c r="D23" s="37">
        <v>2.35</v>
      </c>
      <c r="E23" s="49">
        <v>2</v>
      </c>
      <c r="F23" s="31">
        <v>0.05</v>
      </c>
      <c r="G23" s="38">
        <v>1</v>
      </c>
      <c r="H23" s="39"/>
      <c r="I23" s="40"/>
      <c r="J23" s="34">
        <f t="shared" si="0"/>
        <v>0.23500000000000001</v>
      </c>
      <c r="K23" s="144"/>
      <c r="L23" s="146" t="s">
        <v>29</v>
      </c>
      <c r="M23" s="157">
        <f t="shared" si="1"/>
        <v>0.23500000000000001</v>
      </c>
    </row>
    <row r="24" spans="2:13" ht="14.4" x14ac:dyDescent="0.3">
      <c r="B24" s="137" t="s">
        <v>76</v>
      </c>
      <c r="C24" s="8"/>
      <c r="D24" s="37">
        <v>1.35</v>
      </c>
      <c r="E24" s="49">
        <v>1.35</v>
      </c>
      <c r="F24" s="31">
        <v>0.05</v>
      </c>
      <c r="G24" s="38">
        <v>1</v>
      </c>
      <c r="H24" s="39"/>
      <c r="I24" s="40"/>
      <c r="J24" s="34">
        <f t="shared" si="0"/>
        <v>9.1125000000000012E-2</v>
      </c>
      <c r="K24" s="144"/>
      <c r="L24" s="146" t="s">
        <v>29</v>
      </c>
      <c r="M24" s="157">
        <f t="shared" si="1"/>
        <v>9.1125000000000012E-2</v>
      </c>
    </row>
    <row r="25" spans="2:13" ht="14.4" x14ac:dyDescent="0.3">
      <c r="B25" s="137" t="s">
        <v>77</v>
      </c>
      <c r="C25" s="8"/>
      <c r="D25" s="37">
        <v>1.45</v>
      </c>
      <c r="E25" s="49">
        <v>2.4500000000000002</v>
      </c>
      <c r="F25" s="31">
        <v>0.05</v>
      </c>
      <c r="G25" s="38">
        <v>1</v>
      </c>
      <c r="H25" s="39"/>
      <c r="I25" s="40"/>
      <c r="J25" s="34">
        <f t="shared" si="0"/>
        <v>0.17762500000000001</v>
      </c>
      <c r="K25" s="144"/>
      <c r="L25" s="146" t="s">
        <v>29</v>
      </c>
      <c r="M25" s="157">
        <f t="shared" si="1"/>
        <v>0.17762500000000001</v>
      </c>
    </row>
    <row r="26" spans="2:13" ht="14.4" x14ac:dyDescent="0.3">
      <c r="B26" s="137" t="s">
        <v>78</v>
      </c>
      <c r="C26" s="8"/>
      <c r="D26" s="37">
        <v>2.4</v>
      </c>
      <c r="E26" s="49">
        <v>2.95</v>
      </c>
      <c r="F26" s="31">
        <v>0.05</v>
      </c>
      <c r="G26" s="38">
        <v>1</v>
      </c>
      <c r="H26" s="39"/>
      <c r="I26" s="40"/>
      <c r="J26" s="34">
        <f t="shared" si="0"/>
        <v>0.35400000000000004</v>
      </c>
      <c r="K26" s="144"/>
      <c r="L26" s="146" t="s">
        <v>29</v>
      </c>
      <c r="M26" s="157">
        <f t="shared" si="1"/>
        <v>0.35400000000000004</v>
      </c>
    </row>
    <row r="27" spans="2:13" ht="14.4" x14ac:dyDescent="0.3">
      <c r="B27" s="137" t="s">
        <v>79</v>
      </c>
      <c r="C27" s="8"/>
      <c r="D27" s="37">
        <v>3.4</v>
      </c>
      <c r="E27" s="49">
        <v>3.15</v>
      </c>
      <c r="F27" s="31">
        <v>0.05</v>
      </c>
      <c r="G27" s="38">
        <v>1</v>
      </c>
      <c r="H27" s="39"/>
      <c r="I27" s="40"/>
      <c r="J27" s="34">
        <f t="shared" si="0"/>
        <v>0.53549999999999998</v>
      </c>
      <c r="K27" s="144"/>
      <c r="L27" s="146" t="s">
        <v>29</v>
      </c>
      <c r="M27" s="157">
        <f t="shared" si="1"/>
        <v>0.53549999999999998</v>
      </c>
    </row>
    <row r="28" spans="2:13" ht="14.4" x14ac:dyDescent="0.3">
      <c r="B28" s="137" t="s">
        <v>80</v>
      </c>
      <c r="C28" s="8"/>
      <c r="D28" s="37">
        <v>3.2</v>
      </c>
      <c r="E28" s="42">
        <v>2.95</v>
      </c>
      <c r="F28" s="31">
        <v>0.05</v>
      </c>
      <c r="G28" s="38">
        <v>1</v>
      </c>
      <c r="H28" s="33"/>
      <c r="I28" s="40"/>
      <c r="J28" s="34">
        <f t="shared" si="0"/>
        <v>0.47200000000000009</v>
      </c>
      <c r="K28" s="144"/>
      <c r="L28" s="146" t="s">
        <v>29</v>
      </c>
      <c r="M28" s="157">
        <f t="shared" si="1"/>
        <v>0.47200000000000009</v>
      </c>
    </row>
    <row r="29" spans="2:13" ht="14.4" x14ac:dyDescent="0.3">
      <c r="B29" s="137" t="s">
        <v>81</v>
      </c>
      <c r="C29" s="57"/>
      <c r="D29" s="58">
        <v>2.85</v>
      </c>
      <c r="E29" s="143">
        <v>2.5499999999999998</v>
      </c>
      <c r="F29" s="31">
        <v>0.05</v>
      </c>
      <c r="G29" s="38">
        <v>1</v>
      </c>
      <c r="H29" s="144"/>
      <c r="I29" s="62"/>
      <c r="J29" s="34">
        <f t="shared" si="0"/>
        <v>0.363375</v>
      </c>
      <c r="K29" s="144"/>
      <c r="L29" s="146" t="s">
        <v>29</v>
      </c>
      <c r="M29" s="157">
        <f t="shared" si="1"/>
        <v>0.363375</v>
      </c>
    </row>
    <row r="30" spans="2:13" ht="14.4" x14ac:dyDescent="0.3">
      <c r="B30" s="137" t="s">
        <v>82</v>
      </c>
      <c r="C30" s="7"/>
      <c r="D30" s="31">
        <v>1.45</v>
      </c>
      <c r="E30" s="42">
        <v>1.1499999999999999</v>
      </c>
      <c r="F30" s="31">
        <v>0.05</v>
      </c>
      <c r="G30" s="38">
        <v>1</v>
      </c>
      <c r="H30" s="33"/>
      <c r="I30" s="34"/>
      <c r="J30" s="34">
        <f t="shared" si="0"/>
        <v>8.3374999999999991E-2</v>
      </c>
      <c r="K30" s="144"/>
      <c r="L30" s="146" t="s">
        <v>29</v>
      </c>
      <c r="M30" s="157">
        <f t="shared" si="1"/>
        <v>8.3374999999999991E-2</v>
      </c>
    </row>
    <row r="31" spans="2:13" ht="14.4" x14ac:dyDescent="0.3">
      <c r="B31" s="137" t="s">
        <v>83</v>
      </c>
      <c r="C31" s="57"/>
      <c r="D31" s="58">
        <v>1.1000000000000001</v>
      </c>
      <c r="E31" s="59">
        <v>1.1000000000000001</v>
      </c>
      <c r="F31" s="31">
        <v>0.05</v>
      </c>
      <c r="G31" s="38">
        <v>1</v>
      </c>
      <c r="H31" s="61"/>
      <c r="I31" s="62"/>
      <c r="J31" s="34">
        <f t="shared" si="0"/>
        <v>6.0500000000000012E-2</v>
      </c>
      <c r="K31" s="144"/>
      <c r="L31" s="146" t="s">
        <v>29</v>
      </c>
      <c r="M31" s="157">
        <f t="shared" si="1"/>
        <v>6.0500000000000012E-2</v>
      </c>
    </row>
    <row r="32" spans="2:13" ht="14.4" x14ac:dyDescent="0.3">
      <c r="B32" s="137" t="s">
        <v>84</v>
      </c>
      <c r="C32" s="7"/>
      <c r="D32" s="31">
        <v>1.1000000000000001</v>
      </c>
      <c r="E32" s="42">
        <v>0.8</v>
      </c>
      <c r="F32" s="31">
        <v>0.05</v>
      </c>
      <c r="G32" s="38">
        <v>1</v>
      </c>
      <c r="H32" s="33"/>
      <c r="I32" s="34"/>
      <c r="J32" s="34">
        <f t="shared" si="0"/>
        <v>4.4000000000000011E-2</v>
      </c>
      <c r="K32" s="144"/>
      <c r="L32" s="146" t="s">
        <v>29</v>
      </c>
      <c r="M32" s="157">
        <f t="shared" si="1"/>
        <v>4.4000000000000011E-2</v>
      </c>
    </row>
    <row r="33" spans="2:13" ht="14.4" x14ac:dyDescent="0.3">
      <c r="B33" s="74"/>
      <c r="C33" s="7"/>
      <c r="D33" s="31"/>
      <c r="E33" s="42"/>
      <c r="F33" s="31"/>
      <c r="G33" s="32"/>
      <c r="H33" s="33"/>
      <c r="I33" s="34"/>
      <c r="J33" s="34"/>
      <c r="K33" s="147"/>
      <c r="L33" s="35"/>
      <c r="M33" s="159"/>
    </row>
    <row r="34" spans="2:13" ht="15" thickBot="1" x14ac:dyDescent="0.35">
      <c r="B34" s="106" t="s">
        <v>95</v>
      </c>
      <c r="C34" s="76"/>
      <c r="D34" s="77"/>
      <c r="E34" s="107"/>
      <c r="F34" s="77"/>
      <c r="G34" s="79"/>
      <c r="H34" s="82"/>
      <c r="I34" s="81"/>
      <c r="J34" s="81"/>
      <c r="K34" s="82"/>
      <c r="L34" s="83" t="s">
        <v>29</v>
      </c>
      <c r="M34" s="84">
        <f>SUM(M11:M33)</f>
        <v>7.5456250000000011</v>
      </c>
    </row>
  </sheetData>
  <mergeCells count="3">
    <mergeCell ref="B7:B8"/>
    <mergeCell ref="L7:L8"/>
    <mergeCell ref="M7:M8"/>
  </mergeCells>
  <dataValidations count="1">
    <dataValidation type="list" allowBlank="1" showInputMessage="1" showErrorMessage="1" sqref="H10 H7:H8" xr:uid="{4F83A865-5062-4D11-9A66-BDC41D2B3BD5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2F87-AAC6-4D79-8F3A-830B11AE999A}">
  <dimension ref="B3:N59"/>
  <sheetViews>
    <sheetView tabSelected="1" topLeftCell="A34" workbookViewId="0">
      <selection activeCell="C57" sqref="C57:N57"/>
    </sheetView>
  </sheetViews>
  <sheetFormatPr defaultRowHeight="13.2" x14ac:dyDescent="0.25"/>
  <cols>
    <col min="3" max="3" width="30.77734375" customWidth="1"/>
    <col min="4" max="4" width="12.77734375" customWidth="1"/>
    <col min="5" max="5" width="14.77734375" customWidth="1"/>
    <col min="6" max="6" width="12.77734375" customWidth="1"/>
    <col min="7" max="7" width="14.77734375" customWidth="1"/>
    <col min="8" max="8" width="12.77734375" customWidth="1"/>
  </cols>
  <sheetData>
    <row r="3" spans="2:14" ht="14.4" x14ac:dyDescent="0.25">
      <c r="B3" s="13" t="s">
        <v>17</v>
      </c>
      <c r="C3" s="100" t="s">
        <v>85</v>
      </c>
      <c r="D3" s="22"/>
      <c r="E3" s="22"/>
    </row>
    <row r="4" spans="2:14" ht="14.4" x14ac:dyDescent="0.25">
      <c r="B4" s="13" t="s">
        <v>18</v>
      </c>
      <c r="C4" s="100" t="s">
        <v>19</v>
      </c>
      <c r="D4" s="22"/>
      <c r="E4" s="22"/>
    </row>
    <row r="5" spans="2:14" ht="14.4" x14ac:dyDescent="0.25">
      <c r="C5" s="15" t="s">
        <v>39</v>
      </c>
      <c r="D5" s="16"/>
      <c r="E5" s="14"/>
      <c r="F5" s="17"/>
      <c r="G5" s="17"/>
      <c r="H5" s="17"/>
      <c r="I5" s="17"/>
      <c r="J5" s="17"/>
      <c r="K5" s="17"/>
    </row>
    <row r="6" spans="2:14" ht="14.4" x14ac:dyDescent="0.25">
      <c r="C6" s="15"/>
      <c r="D6" s="16"/>
      <c r="E6" s="14"/>
      <c r="F6" s="17"/>
      <c r="G6" s="17"/>
      <c r="H6" s="17"/>
      <c r="I6" s="17"/>
      <c r="J6" s="17"/>
      <c r="K6" s="17"/>
    </row>
    <row r="7" spans="2:14" ht="14.4" x14ac:dyDescent="0.25">
      <c r="C7" s="15" t="s">
        <v>562</v>
      </c>
      <c r="D7" s="16"/>
      <c r="E7" s="14"/>
      <c r="F7" s="17"/>
      <c r="G7" s="17"/>
      <c r="H7" s="17"/>
      <c r="I7" s="17"/>
      <c r="J7" s="17"/>
      <c r="K7" s="17"/>
    </row>
    <row r="8" spans="2:14" ht="15.6" x14ac:dyDescent="0.25">
      <c r="C8" s="1"/>
      <c r="D8" s="2"/>
      <c r="E8" s="3"/>
      <c r="F8" s="3"/>
      <c r="G8" s="3"/>
      <c r="H8" s="2"/>
      <c r="I8" s="4"/>
      <c r="J8" s="5"/>
      <c r="K8" s="5"/>
      <c r="L8" s="4"/>
      <c r="M8" s="4"/>
      <c r="N8" s="6"/>
    </row>
    <row r="9" spans="2:14" ht="14.4" x14ac:dyDescent="0.25">
      <c r="C9" s="570" t="s">
        <v>1</v>
      </c>
      <c r="D9" s="10" t="s">
        <v>0</v>
      </c>
      <c r="E9" s="9" t="s">
        <v>12</v>
      </c>
      <c r="F9" s="9" t="s">
        <v>4</v>
      </c>
      <c r="G9" s="9" t="s">
        <v>38</v>
      </c>
      <c r="H9" s="9" t="s">
        <v>6</v>
      </c>
      <c r="I9" s="12" t="s">
        <v>5</v>
      </c>
      <c r="J9" s="11" t="s">
        <v>13</v>
      </c>
      <c r="K9" s="11" t="s">
        <v>26</v>
      </c>
      <c r="L9" s="12" t="s">
        <v>14</v>
      </c>
      <c r="M9" s="570" t="s">
        <v>7</v>
      </c>
      <c r="N9" s="572" t="s">
        <v>8</v>
      </c>
    </row>
    <row r="10" spans="2:14" ht="14.4" x14ac:dyDescent="0.3">
      <c r="C10" s="571"/>
      <c r="D10" s="18" t="s">
        <v>9</v>
      </c>
      <c r="E10" s="19" t="s">
        <v>10</v>
      </c>
      <c r="F10" s="19" t="s">
        <v>10</v>
      </c>
      <c r="G10" s="19" t="s">
        <v>10</v>
      </c>
      <c r="H10" s="18" t="s">
        <v>9</v>
      </c>
      <c r="I10" s="20" t="s">
        <v>11</v>
      </c>
      <c r="J10" s="21" t="s">
        <v>11</v>
      </c>
      <c r="K10" s="21" t="s">
        <v>27</v>
      </c>
      <c r="L10" s="20" t="s">
        <v>15</v>
      </c>
      <c r="M10" s="571"/>
      <c r="N10" s="573"/>
    </row>
    <row r="11" spans="2:14" ht="15.6" x14ac:dyDescent="0.25">
      <c r="B11" s="14"/>
      <c r="C11" s="23" t="s">
        <v>61</v>
      </c>
      <c r="D11" s="24"/>
      <c r="E11" s="25"/>
      <c r="F11" s="24"/>
      <c r="G11" s="26"/>
      <c r="H11" s="27"/>
      <c r="I11" s="28"/>
      <c r="J11" s="28"/>
      <c r="K11" s="28"/>
      <c r="L11" s="28"/>
      <c r="M11" s="29"/>
      <c r="N11" s="30"/>
    </row>
    <row r="12" spans="2:14" ht="15" thickBot="1" x14ac:dyDescent="0.35">
      <c r="C12" s="43"/>
      <c r="D12" s="44"/>
      <c r="E12" s="45"/>
      <c r="F12" s="45"/>
      <c r="G12" s="45"/>
      <c r="H12" s="44"/>
      <c r="I12" s="46"/>
      <c r="J12" s="47"/>
      <c r="K12" s="47"/>
      <c r="L12" s="46"/>
      <c r="M12" s="46"/>
      <c r="N12" s="48"/>
    </row>
    <row r="13" spans="2:14" ht="14.4" x14ac:dyDescent="0.3">
      <c r="C13" s="148" t="s">
        <v>498</v>
      </c>
      <c r="D13" s="149"/>
      <c r="E13" s="150">
        <v>3.7</v>
      </c>
      <c r="F13" s="151">
        <v>2.4</v>
      </c>
      <c r="G13" s="150">
        <v>2.2999999999999998</v>
      </c>
      <c r="H13" s="152">
        <v>1</v>
      </c>
      <c r="I13" s="153"/>
      <c r="J13" s="154"/>
      <c r="K13" s="169">
        <f>H13*G13*F13*E13</f>
        <v>20.423999999999999</v>
      </c>
      <c r="L13" s="153"/>
      <c r="M13" s="155" t="s">
        <v>29</v>
      </c>
      <c r="N13" s="156">
        <f>K13</f>
        <v>20.423999999999999</v>
      </c>
    </row>
    <row r="14" spans="2:14" ht="14.4" x14ac:dyDescent="0.3">
      <c r="C14" s="74"/>
      <c r="D14" s="7"/>
      <c r="E14" s="31"/>
      <c r="F14" s="42"/>
      <c r="G14" s="31"/>
      <c r="H14" s="32"/>
      <c r="I14" s="33"/>
      <c r="J14" s="34"/>
      <c r="K14" s="34"/>
      <c r="L14" s="33"/>
      <c r="M14" s="35"/>
      <c r="N14" s="36"/>
    </row>
    <row r="15" spans="2:14" ht="14.4" x14ac:dyDescent="0.3">
      <c r="C15" s="161"/>
      <c r="D15" s="57"/>
      <c r="E15" s="58"/>
      <c r="F15" s="59"/>
      <c r="G15" s="58"/>
      <c r="H15" s="60"/>
      <c r="I15" s="574"/>
      <c r="J15" s="62"/>
      <c r="K15" s="34"/>
      <c r="L15" s="33"/>
      <c r="M15" s="35"/>
      <c r="N15" s="36"/>
    </row>
    <row r="16" spans="2:14" ht="15" thickBot="1" x14ac:dyDescent="0.35">
      <c r="C16" s="225"/>
      <c r="D16" s="225"/>
      <c r="E16" s="223"/>
      <c r="F16" s="143"/>
      <c r="G16" s="223"/>
      <c r="H16" s="575"/>
      <c r="I16" s="144"/>
      <c r="J16" s="162"/>
      <c r="K16" s="162"/>
      <c r="L16" s="144"/>
      <c r="M16" s="146"/>
      <c r="N16" s="576"/>
    </row>
    <row r="17" spans="3:14" ht="15" thickBot="1" x14ac:dyDescent="0.35">
      <c r="C17" s="224" t="s">
        <v>93</v>
      </c>
      <c r="D17" s="51"/>
      <c r="E17" s="52"/>
      <c r="F17" s="53"/>
      <c r="G17" s="52"/>
      <c r="H17" s="54"/>
      <c r="I17" s="55"/>
      <c r="J17" s="56"/>
      <c r="K17" s="56"/>
      <c r="L17" s="55"/>
      <c r="M17" s="90" t="s">
        <v>29</v>
      </c>
      <c r="N17" s="91">
        <f>SUM(N13:N16)</f>
        <v>20.423999999999999</v>
      </c>
    </row>
    <row r="18" spans="3:14" ht="14.4" x14ac:dyDescent="0.3">
      <c r="C18" s="137"/>
      <c r="D18" s="8"/>
      <c r="E18" s="37"/>
      <c r="F18" s="49"/>
      <c r="G18" s="37"/>
      <c r="H18" s="38"/>
      <c r="I18" s="39"/>
      <c r="J18" s="40"/>
      <c r="K18" s="62"/>
      <c r="L18" s="574"/>
      <c r="M18" s="63"/>
      <c r="N18" s="177"/>
    </row>
    <row r="19" spans="3:14" ht="14.4" x14ac:dyDescent="0.3">
      <c r="C19" s="137" t="s">
        <v>563</v>
      </c>
      <c r="D19" s="8"/>
      <c r="E19" s="31"/>
      <c r="F19" s="42"/>
      <c r="G19" s="31"/>
      <c r="H19" s="32">
        <v>1</v>
      </c>
      <c r="I19" s="33"/>
      <c r="J19" s="34"/>
      <c r="K19" s="162">
        <v>3</v>
      </c>
      <c r="L19" s="144"/>
      <c r="M19" s="237" t="s">
        <v>29</v>
      </c>
      <c r="N19" s="577">
        <f t="shared" ref="N19" si="0">K19</f>
        <v>3</v>
      </c>
    </row>
    <row r="20" spans="3:14" ht="14.4" x14ac:dyDescent="0.3">
      <c r="C20" s="137"/>
      <c r="D20" s="8"/>
      <c r="E20" s="37"/>
      <c r="F20" s="49"/>
      <c r="G20" s="37"/>
      <c r="H20" s="38"/>
      <c r="I20" s="39"/>
      <c r="J20" s="40"/>
      <c r="K20" s="34"/>
      <c r="L20" s="144"/>
      <c r="M20" s="146"/>
      <c r="N20" s="157"/>
    </row>
    <row r="21" spans="3:14" ht="14.4" x14ac:dyDescent="0.3">
      <c r="C21" s="137" t="s">
        <v>564</v>
      </c>
      <c r="D21" s="8"/>
      <c r="E21" s="37"/>
      <c r="F21" s="49"/>
      <c r="G21" s="37"/>
      <c r="H21" s="38">
        <v>1</v>
      </c>
      <c r="I21" s="39"/>
      <c r="J21" s="40"/>
      <c r="K21" s="34">
        <f>N17-N19</f>
        <v>17.423999999999999</v>
      </c>
      <c r="L21" s="144"/>
      <c r="M21" s="237" t="s">
        <v>29</v>
      </c>
      <c r="N21" s="236">
        <f>K21*H21</f>
        <v>17.423999999999999</v>
      </c>
    </row>
    <row r="22" spans="3:14" ht="14.4" x14ac:dyDescent="0.3">
      <c r="C22" s="137"/>
      <c r="D22" s="8"/>
      <c r="E22" s="37"/>
      <c r="F22" s="49"/>
      <c r="G22" s="37"/>
      <c r="H22" s="38"/>
      <c r="I22" s="39"/>
      <c r="J22" s="40"/>
      <c r="K22" s="34"/>
      <c r="L22" s="144"/>
      <c r="M22" s="237"/>
      <c r="N22" s="236"/>
    </row>
    <row r="23" spans="3:14" ht="14.4" x14ac:dyDescent="0.3">
      <c r="C23" s="137" t="s">
        <v>94</v>
      </c>
      <c r="D23" s="8"/>
      <c r="E23" s="37"/>
      <c r="F23" s="49"/>
      <c r="G23" s="37"/>
      <c r="H23" s="32">
        <v>1</v>
      </c>
      <c r="I23" s="33"/>
      <c r="J23" s="34"/>
      <c r="K23" s="162">
        <v>3</v>
      </c>
      <c r="L23" s="144"/>
      <c r="M23" s="237" t="s">
        <v>29</v>
      </c>
      <c r="N23" s="577">
        <f t="shared" ref="N23" si="1">K23</f>
        <v>3</v>
      </c>
    </row>
    <row r="24" spans="3:14" ht="14.4" x14ac:dyDescent="0.3">
      <c r="C24" s="137"/>
      <c r="D24" s="8"/>
      <c r="E24" s="37"/>
      <c r="F24" s="49"/>
      <c r="G24" s="37"/>
      <c r="H24" s="38"/>
      <c r="I24" s="39"/>
      <c r="J24" s="40"/>
      <c r="K24" s="34"/>
      <c r="L24" s="144"/>
      <c r="M24" s="146"/>
      <c r="N24" s="157"/>
    </row>
    <row r="25" spans="3:14" ht="14.4" x14ac:dyDescent="0.3">
      <c r="C25" s="137" t="s">
        <v>565</v>
      </c>
      <c r="D25" s="8"/>
      <c r="E25" s="37">
        <v>2.2999999999999998</v>
      </c>
      <c r="F25" s="49">
        <v>0.87</v>
      </c>
      <c r="G25" s="37">
        <v>0.15</v>
      </c>
      <c r="H25" s="38">
        <v>1</v>
      </c>
      <c r="I25" s="39"/>
      <c r="J25" s="40"/>
      <c r="K25" s="162">
        <f t="shared" ref="K25:K32" si="2">H25*G25*F25*E25</f>
        <v>0.30014999999999997</v>
      </c>
      <c r="L25" s="144"/>
      <c r="M25" s="146" t="s">
        <v>29</v>
      </c>
      <c r="N25" s="236">
        <f t="shared" ref="N25:N32" si="3">K25*H25</f>
        <v>0.30014999999999997</v>
      </c>
    </row>
    <row r="26" spans="3:14" ht="14.4" x14ac:dyDescent="0.3">
      <c r="C26" s="137"/>
      <c r="D26" s="8"/>
      <c r="E26" s="37">
        <v>0.75</v>
      </c>
      <c r="F26" s="49">
        <v>1.1000000000000001</v>
      </c>
      <c r="G26" s="37">
        <v>0.2</v>
      </c>
      <c r="H26" s="38">
        <v>1</v>
      </c>
      <c r="I26" s="39"/>
      <c r="J26" s="40"/>
      <c r="K26" s="162">
        <f t="shared" si="2"/>
        <v>0.16500000000000004</v>
      </c>
      <c r="L26" s="144"/>
      <c r="M26" s="146" t="s">
        <v>29</v>
      </c>
      <c r="N26" s="236">
        <f t="shared" si="3"/>
        <v>0.16500000000000004</v>
      </c>
    </row>
    <row r="27" spans="3:14" ht="14.4" x14ac:dyDescent="0.3">
      <c r="C27" s="137"/>
      <c r="D27" s="8"/>
      <c r="E27" s="37">
        <v>4.8</v>
      </c>
      <c r="F27" s="49">
        <v>1.85</v>
      </c>
      <c r="G27" s="37">
        <v>0.1</v>
      </c>
      <c r="H27" s="38">
        <v>1</v>
      </c>
      <c r="I27" s="39"/>
      <c r="J27" s="40"/>
      <c r="K27" s="162">
        <f t="shared" si="2"/>
        <v>0.88800000000000012</v>
      </c>
      <c r="L27" s="144"/>
      <c r="M27" s="146" t="s">
        <v>29</v>
      </c>
      <c r="N27" s="236">
        <f t="shared" si="3"/>
        <v>0.88800000000000012</v>
      </c>
    </row>
    <row r="28" spans="3:14" ht="14.4" x14ac:dyDescent="0.3">
      <c r="C28" s="137"/>
      <c r="D28" s="8"/>
      <c r="E28" s="37">
        <v>1.2</v>
      </c>
      <c r="F28" s="49">
        <v>1.4</v>
      </c>
      <c r="G28" s="37">
        <v>0.1</v>
      </c>
      <c r="H28" s="38">
        <v>1</v>
      </c>
      <c r="I28" s="39"/>
      <c r="J28" s="40"/>
      <c r="K28" s="162">
        <f t="shared" si="2"/>
        <v>0.16799999999999998</v>
      </c>
      <c r="L28" s="144"/>
      <c r="M28" s="146" t="s">
        <v>29</v>
      </c>
      <c r="N28" s="236">
        <f t="shared" si="3"/>
        <v>0.16799999999999998</v>
      </c>
    </row>
    <row r="29" spans="3:14" ht="14.4" x14ac:dyDescent="0.3">
      <c r="C29" s="74"/>
      <c r="D29" s="8"/>
      <c r="E29" s="37">
        <v>2.2999999999999998</v>
      </c>
      <c r="F29" s="42">
        <v>0.6</v>
      </c>
      <c r="G29" s="37">
        <v>0.15</v>
      </c>
      <c r="H29" s="38">
        <v>1</v>
      </c>
      <c r="I29" s="33"/>
      <c r="J29" s="40"/>
      <c r="K29" s="162">
        <f t="shared" si="2"/>
        <v>0.20699999999999999</v>
      </c>
      <c r="L29" s="144"/>
      <c r="M29" s="146" t="s">
        <v>29</v>
      </c>
      <c r="N29" s="236">
        <f t="shared" si="3"/>
        <v>0.20699999999999999</v>
      </c>
    </row>
    <row r="30" spans="3:14" ht="14.4" x14ac:dyDescent="0.3">
      <c r="C30" s="158"/>
      <c r="D30" s="57"/>
      <c r="E30" s="58">
        <v>0.75</v>
      </c>
      <c r="F30" s="143">
        <v>0.95</v>
      </c>
      <c r="G30" s="58">
        <v>0.15</v>
      </c>
      <c r="H30" s="60">
        <v>1</v>
      </c>
      <c r="I30" s="144"/>
      <c r="J30" s="62"/>
      <c r="K30" s="162">
        <f t="shared" si="2"/>
        <v>0.106875</v>
      </c>
      <c r="L30" s="144"/>
      <c r="M30" s="146" t="s">
        <v>29</v>
      </c>
      <c r="N30" s="236">
        <f t="shared" si="3"/>
        <v>0.106875</v>
      </c>
    </row>
    <row r="31" spans="3:14" ht="14.4" x14ac:dyDescent="0.3">
      <c r="C31" s="158"/>
      <c r="D31" s="7"/>
      <c r="E31" s="31">
        <v>0.75</v>
      </c>
      <c r="F31" s="42">
        <v>1.1000000000000001</v>
      </c>
      <c r="G31" s="31">
        <v>0.1</v>
      </c>
      <c r="H31" s="32">
        <v>2</v>
      </c>
      <c r="I31" s="33"/>
      <c r="J31" s="34"/>
      <c r="K31" s="34">
        <f t="shared" si="2"/>
        <v>0.16500000000000004</v>
      </c>
      <c r="L31" s="36"/>
      <c r="M31" s="146" t="s">
        <v>29</v>
      </c>
      <c r="N31" s="236">
        <f t="shared" si="3"/>
        <v>0.33000000000000007</v>
      </c>
    </row>
    <row r="32" spans="3:14" ht="15" thickBot="1" x14ac:dyDescent="0.35">
      <c r="C32" s="158"/>
      <c r="D32" s="225"/>
      <c r="E32" s="223">
        <v>1.2</v>
      </c>
      <c r="F32" s="143">
        <v>1.4</v>
      </c>
      <c r="G32" s="223">
        <v>0.1</v>
      </c>
      <c r="H32" s="575">
        <v>1</v>
      </c>
      <c r="I32" s="144"/>
      <c r="J32" s="162"/>
      <c r="K32" s="162">
        <f t="shared" si="2"/>
        <v>0.16799999999999998</v>
      </c>
      <c r="L32" s="144"/>
      <c r="M32" s="146" t="s">
        <v>29</v>
      </c>
      <c r="N32" s="236">
        <f t="shared" si="3"/>
        <v>0.16799999999999998</v>
      </c>
    </row>
    <row r="33" spans="3:14" ht="15" thickBot="1" x14ac:dyDescent="0.35">
      <c r="C33" s="224" t="s">
        <v>206</v>
      </c>
      <c r="D33" s="51"/>
      <c r="E33" s="52"/>
      <c r="F33" s="53"/>
      <c r="G33" s="52"/>
      <c r="H33" s="54"/>
      <c r="I33" s="55"/>
      <c r="J33" s="56"/>
      <c r="K33" s="56"/>
      <c r="L33" s="55"/>
      <c r="M33" s="90" t="s">
        <v>29</v>
      </c>
      <c r="N33" s="91">
        <f>SUM(N25:N32)</f>
        <v>2.3330250000000001</v>
      </c>
    </row>
    <row r="34" spans="3:14" ht="14.4" x14ac:dyDescent="0.3">
      <c r="C34" s="164"/>
      <c r="D34" s="57"/>
      <c r="E34" s="58"/>
      <c r="F34" s="59"/>
      <c r="G34" s="58"/>
      <c r="H34" s="60"/>
      <c r="I34" s="574"/>
      <c r="J34" s="62"/>
      <c r="K34" s="62"/>
      <c r="L34" s="574"/>
      <c r="M34" s="145"/>
      <c r="N34" s="165"/>
    </row>
    <row r="35" spans="3:14" ht="14.4" x14ac:dyDescent="0.3">
      <c r="C35" s="235" t="s">
        <v>569</v>
      </c>
      <c r="D35" s="579">
        <f>2.33*100</f>
        <v>233</v>
      </c>
      <c r="E35" s="31"/>
      <c r="F35" s="42"/>
      <c r="G35" s="31"/>
      <c r="H35" s="32">
        <v>1</v>
      </c>
      <c r="I35" s="33"/>
      <c r="J35" s="34"/>
      <c r="K35" s="34"/>
      <c r="L35" s="33"/>
      <c r="M35" s="239" t="s">
        <v>108</v>
      </c>
      <c r="N35" s="254">
        <f>D35</f>
        <v>233</v>
      </c>
    </row>
    <row r="36" spans="3:14" ht="14.4" x14ac:dyDescent="0.3">
      <c r="C36" s="164"/>
      <c r="D36" s="580"/>
      <c r="E36" s="58"/>
      <c r="F36" s="59"/>
      <c r="G36" s="58"/>
      <c r="H36" s="60"/>
      <c r="I36" s="574"/>
      <c r="J36" s="62"/>
      <c r="K36" s="62"/>
      <c r="L36" s="574"/>
      <c r="M36" s="145"/>
      <c r="N36" s="165"/>
    </row>
    <row r="37" spans="3:14" ht="14.4" x14ac:dyDescent="0.3">
      <c r="C37" s="235" t="s">
        <v>208</v>
      </c>
      <c r="D37" s="581">
        <v>67</v>
      </c>
      <c r="E37" s="31"/>
      <c r="F37" s="42"/>
      <c r="G37" s="31"/>
      <c r="H37" s="32">
        <v>1</v>
      </c>
      <c r="I37" s="33"/>
      <c r="J37" s="34"/>
      <c r="K37" s="34"/>
      <c r="L37" s="33"/>
      <c r="M37" s="239" t="s">
        <v>3</v>
      </c>
      <c r="N37" s="254">
        <f>H37*D37</f>
        <v>67</v>
      </c>
    </row>
    <row r="38" spans="3:14" ht="14.4" x14ac:dyDescent="0.3">
      <c r="C38" s="164"/>
      <c r="D38" s="582"/>
      <c r="E38" s="37"/>
      <c r="F38" s="49"/>
      <c r="G38" s="37"/>
      <c r="H38" s="38"/>
      <c r="I38" s="574"/>
      <c r="J38" s="40"/>
      <c r="K38" s="40"/>
      <c r="L38" s="574"/>
      <c r="M38" s="63"/>
      <c r="N38" s="177"/>
    </row>
    <row r="39" spans="3:14" ht="14.4" x14ac:dyDescent="0.3">
      <c r="C39" s="158" t="s">
        <v>566</v>
      </c>
      <c r="D39" s="580"/>
      <c r="E39" s="58">
        <v>20</v>
      </c>
      <c r="F39" s="59"/>
      <c r="G39" s="58"/>
      <c r="H39" s="60">
        <v>1</v>
      </c>
      <c r="I39" s="144"/>
      <c r="J39" s="62"/>
      <c r="K39" s="34"/>
      <c r="L39" s="144"/>
      <c r="M39" s="237" t="s">
        <v>46</v>
      </c>
      <c r="N39" s="236">
        <f>H39*E39</f>
        <v>20</v>
      </c>
    </row>
    <row r="40" spans="3:14" ht="14.4" x14ac:dyDescent="0.3">
      <c r="C40" s="158"/>
      <c r="D40" s="583"/>
      <c r="E40" s="31"/>
      <c r="F40" s="42"/>
      <c r="G40" s="31"/>
      <c r="H40" s="32"/>
      <c r="I40" s="33"/>
      <c r="J40" s="34"/>
      <c r="K40" s="34"/>
      <c r="L40" s="144"/>
      <c r="M40" s="237"/>
      <c r="N40" s="236"/>
    </row>
    <row r="41" spans="3:14" ht="14.4" x14ac:dyDescent="0.3">
      <c r="C41" s="158" t="s">
        <v>567</v>
      </c>
      <c r="D41" s="580"/>
      <c r="E41" s="58">
        <v>0.38</v>
      </c>
      <c r="F41" s="59">
        <v>0.6</v>
      </c>
      <c r="G41" s="58"/>
      <c r="H41" s="60">
        <v>1</v>
      </c>
      <c r="I41" s="574"/>
      <c r="J41" s="62"/>
      <c r="K41" s="34"/>
      <c r="L41" s="144"/>
      <c r="M41" s="237" t="s">
        <v>3</v>
      </c>
      <c r="N41" s="236">
        <f>H41*F41*E41</f>
        <v>0.22799999999999998</v>
      </c>
    </row>
    <row r="42" spans="3:14" ht="14.4" x14ac:dyDescent="0.3">
      <c r="C42" s="158"/>
      <c r="D42" s="583"/>
      <c r="E42" s="31"/>
      <c r="F42" s="42"/>
      <c r="G42" s="31"/>
      <c r="H42" s="32"/>
      <c r="I42" s="33"/>
      <c r="J42" s="34"/>
      <c r="K42" s="34"/>
      <c r="L42" s="144"/>
      <c r="M42" s="237"/>
      <c r="N42" s="236"/>
    </row>
    <row r="43" spans="3:14" ht="14.4" x14ac:dyDescent="0.3">
      <c r="C43" s="158" t="s">
        <v>568</v>
      </c>
      <c r="D43" s="584">
        <v>2</v>
      </c>
      <c r="E43" s="58"/>
      <c r="F43" s="59"/>
      <c r="G43" s="58"/>
      <c r="H43" s="60">
        <v>1</v>
      </c>
      <c r="I43" s="574"/>
      <c r="J43" s="62"/>
      <c r="K43" s="34"/>
      <c r="L43" s="144"/>
      <c r="M43" s="237" t="s">
        <v>16</v>
      </c>
      <c r="N43" s="236">
        <v>2</v>
      </c>
    </row>
    <row r="44" spans="3:14" ht="14.4" x14ac:dyDescent="0.3">
      <c r="C44" s="158"/>
      <c r="D44" s="583"/>
      <c r="E44" s="31"/>
      <c r="F44" s="42"/>
      <c r="G44" s="31"/>
      <c r="H44" s="32"/>
      <c r="I44" s="33"/>
      <c r="J44" s="34"/>
      <c r="K44" s="34"/>
      <c r="L44" s="144"/>
      <c r="M44" s="237"/>
      <c r="N44" s="236"/>
    </row>
    <row r="45" spans="3:14" ht="14.4" x14ac:dyDescent="0.3">
      <c r="C45" s="158" t="s">
        <v>570</v>
      </c>
      <c r="D45" s="583"/>
      <c r="E45" s="31">
        <v>3.2</v>
      </c>
      <c r="F45" s="42"/>
      <c r="G45" s="31"/>
      <c r="H45" s="32">
        <v>1</v>
      </c>
      <c r="I45" s="33"/>
      <c r="J45" s="34"/>
      <c r="K45" s="34"/>
      <c r="L45" s="144"/>
      <c r="M45" s="237" t="s">
        <v>46</v>
      </c>
      <c r="N45" s="236">
        <f>H45*E45</f>
        <v>3.2</v>
      </c>
    </row>
    <row r="46" spans="3:14" ht="14.4" x14ac:dyDescent="0.3">
      <c r="C46" s="158"/>
      <c r="D46" s="583"/>
      <c r="E46" s="31"/>
      <c r="F46" s="42"/>
      <c r="G46" s="31"/>
      <c r="H46" s="32"/>
      <c r="I46" s="33"/>
      <c r="J46" s="34"/>
      <c r="K46" s="34"/>
      <c r="L46" s="144"/>
      <c r="M46" s="146"/>
      <c r="N46" s="157"/>
    </row>
    <row r="47" spans="3:14" ht="14.4" x14ac:dyDescent="0.3">
      <c r="C47" s="158" t="s">
        <v>571</v>
      </c>
      <c r="D47" s="581">
        <v>6</v>
      </c>
      <c r="E47" s="31"/>
      <c r="F47" s="42"/>
      <c r="G47" s="31"/>
      <c r="H47" s="32">
        <v>1</v>
      </c>
      <c r="I47" s="33"/>
      <c r="J47" s="34"/>
      <c r="K47" s="34"/>
      <c r="L47" s="144"/>
      <c r="M47" s="237" t="s">
        <v>16</v>
      </c>
      <c r="N47" s="157">
        <f>H47*D47</f>
        <v>6</v>
      </c>
    </row>
    <row r="48" spans="3:14" ht="14.4" x14ac:dyDescent="0.3">
      <c r="C48" s="158"/>
      <c r="D48" s="583"/>
      <c r="E48" s="31"/>
      <c r="F48" s="42"/>
      <c r="G48" s="31"/>
      <c r="H48" s="32"/>
      <c r="I48" s="33"/>
      <c r="J48" s="34"/>
      <c r="K48" s="34"/>
      <c r="L48" s="144"/>
      <c r="M48" s="237"/>
      <c r="N48" s="157"/>
    </row>
    <row r="49" spans="3:14" ht="14.4" x14ac:dyDescent="0.3">
      <c r="C49" s="158" t="s">
        <v>572</v>
      </c>
      <c r="D49" s="581">
        <v>2</v>
      </c>
      <c r="E49" s="31"/>
      <c r="F49" s="42"/>
      <c r="G49" s="31"/>
      <c r="H49" s="32">
        <v>1</v>
      </c>
      <c r="I49" s="33"/>
      <c r="J49" s="34"/>
      <c r="K49" s="34"/>
      <c r="L49" s="144"/>
      <c r="M49" s="237" t="s">
        <v>16</v>
      </c>
      <c r="N49" s="157">
        <f>H49*D49</f>
        <v>2</v>
      </c>
    </row>
    <row r="50" spans="3:14" ht="14.4" x14ac:dyDescent="0.3">
      <c r="C50" s="158"/>
      <c r="D50" s="584"/>
      <c r="E50" s="31"/>
      <c r="F50" s="42"/>
      <c r="G50" s="31"/>
      <c r="H50" s="32"/>
      <c r="I50" s="33"/>
      <c r="J50" s="34"/>
      <c r="K50" s="34"/>
      <c r="L50" s="144"/>
      <c r="M50" s="237"/>
      <c r="N50" s="157"/>
    </row>
    <row r="51" spans="3:14" ht="14.4" x14ac:dyDescent="0.3">
      <c r="C51" s="578" t="s">
        <v>573</v>
      </c>
      <c r="D51" s="581">
        <v>2</v>
      </c>
      <c r="E51" s="31"/>
      <c r="F51" s="42"/>
      <c r="G51" s="31"/>
      <c r="H51" s="32">
        <v>1</v>
      </c>
      <c r="I51" s="33"/>
      <c r="J51" s="34"/>
      <c r="K51" s="34"/>
      <c r="L51" s="147"/>
      <c r="M51" s="237" t="s">
        <v>16</v>
      </c>
      <c r="N51" s="159">
        <f>H51*D51</f>
        <v>2</v>
      </c>
    </row>
    <row r="52" spans="3:14" ht="14.4" x14ac:dyDescent="0.3">
      <c r="C52" s="7"/>
      <c r="D52" s="7"/>
      <c r="E52" s="31"/>
      <c r="F52" s="42"/>
      <c r="G52" s="31"/>
      <c r="H52" s="32"/>
      <c r="I52" s="33"/>
      <c r="J52" s="34"/>
      <c r="K52" s="34"/>
      <c r="L52" s="33"/>
      <c r="M52" s="35"/>
      <c r="N52" s="36"/>
    </row>
    <row r="53" spans="3:14" ht="14.4" x14ac:dyDescent="0.3">
      <c r="C53" s="164" t="s">
        <v>574</v>
      </c>
      <c r="D53" s="584">
        <v>8</v>
      </c>
      <c r="E53" s="58"/>
      <c r="F53" s="59"/>
      <c r="G53" s="58"/>
      <c r="H53" s="60">
        <v>1</v>
      </c>
      <c r="I53" s="574"/>
      <c r="J53" s="62"/>
      <c r="K53" s="62"/>
      <c r="L53" s="574"/>
      <c r="M53" s="145" t="s">
        <v>16</v>
      </c>
      <c r="N53" s="165">
        <f>H53*D53</f>
        <v>8</v>
      </c>
    </row>
    <row r="54" spans="3:14" ht="14.4" x14ac:dyDescent="0.3">
      <c r="C54" s="7"/>
      <c r="D54" s="7"/>
      <c r="E54" s="31"/>
      <c r="F54" s="42"/>
      <c r="G54" s="31"/>
      <c r="H54" s="32"/>
      <c r="I54" s="33"/>
      <c r="J54" s="34"/>
      <c r="K54" s="34"/>
      <c r="L54" s="33"/>
      <c r="M54" s="239"/>
      <c r="N54" s="254"/>
    </row>
    <row r="55" spans="3:14" ht="14.4" x14ac:dyDescent="0.3">
      <c r="C55" s="164" t="s">
        <v>575</v>
      </c>
      <c r="D55" s="584">
        <v>8</v>
      </c>
      <c r="E55" s="58"/>
      <c r="F55" s="59"/>
      <c r="G55" s="58"/>
      <c r="H55" s="60">
        <v>1</v>
      </c>
      <c r="I55" s="574"/>
      <c r="J55" s="62"/>
      <c r="K55" s="62"/>
      <c r="L55" s="574"/>
      <c r="M55" s="145" t="s">
        <v>16</v>
      </c>
      <c r="N55" s="165">
        <f>H55*D55</f>
        <v>8</v>
      </c>
    </row>
    <row r="56" spans="3:14" ht="14.4" x14ac:dyDescent="0.3">
      <c r="C56" s="7"/>
      <c r="D56" s="7"/>
      <c r="E56" s="31"/>
      <c r="F56" s="42"/>
      <c r="G56" s="31"/>
      <c r="H56" s="32"/>
      <c r="I56" s="33"/>
      <c r="J56" s="34"/>
      <c r="K56" s="34"/>
      <c r="L56" s="33"/>
      <c r="M56" s="35"/>
      <c r="N56" s="36"/>
    </row>
    <row r="57" spans="3:14" ht="14.4" x14ac:dyDescent="0.3">
      <c r="C57" s="235" t="s">
        <v>577</v>
      </c>
      <c r="D57" s="585">
        <v>2</v>
      </c>
      <c r="E57" s="586"/>
      <c r="F57" s="587"/>
      <c r="G57" s="586"/>
      <c r="H57" s="588">
        <v>1</v>
      </c>
      <c r="I57" s="265"/>
      <c r="J57" s="283"/>
      <c r="K57" s="283"/>
      <c r="L57" s="265"/>
      <c r="M57" s="239" t="s">
        <v>16</v>
      </c>
      <c r="N57" s="254">
        <f>H57*D57</f>
        <v>2</v>
      </c>
    </row>
    <row r="58" spans="3:14" ht="14.4" x14ac:dyDescent="0.3">
      <c r="C58" s="161"/>
      <c r="D58" s="57"/>
      <c r="E58" s="58"/>
      <c r="F58" s="59"/>
      <c r="G58" s="58"/>
      <c r="H58" s="60"/>
      <c r="I58" s="574"/>
      <c r="J58" s="62"/>
      <c r="K58" s="62"/>
      <c r="L58" s="574"/>
      <c r="M58" s="63"/>
      <c r="N58" s="177"/>
    </row>
    <row r="59" spans="3:14" ht="14.4" x14ac:dyDescent="0.3">
      <c r="C59" s="235" t="s">
        <v>576</v>
      </c>
      <c r="D59" s="581">
        <v>2</v>
      </c>
      <c r="E59" s="31"/>
      <c r="F59" s="42"/>
      <c r="G59" s="31"/>
      <c r="H59" s="32">
        <v>1</v>
      </c>
      <c r="I59" s="33"/>
      <c r="J59" s="34"/>
      <c r="K59" s="34"/>
      <c r="L59" s="33"/>
      <c r="M59" s="239" t="s">
        <v>16</v>
      </c>
      <c r="N59" s="254">
        <f>H59*D59</f>
        <v>2</v>
      </c>
    </row>
  </sheetData>
  <mergeCells count="3">
    <mergeCell ref="C9:C10"/>
    <mergeCell ref="M9:M10"/>
    <mergeCell ref="N9:N10"/>
  </mergeCells>
  <dataValidations count="1">
    <dataValidation type="list" allowBlank="1" showInputMessage="1" showErrorMessage="1" sqref="I12 I9:I10" xr:uid="{22E000A0-2618-4E46-A351-DE547880AC1E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7CCD-7E8F-490C-A801-F13ECA9B5711}">
  <dimension ref="A3:M281"/>
  <sheetViews>
    <sheetView workbookViewId="0">
      <selection activeCell="M281" sqref="B1:M281"/>
    </sheetView>
  </sheetViews>
  <sheetFormatPr defaultRowHeight="13.2" x14ac:dyDescent="0.25"/>
  <cols>
    <col min="2" max="2" width="40.77734375" customWidth="1"/>
    <col min="3" max="7" width="13.77734375" customWidth="1"/>
  </cols>
  <sheetData>
    <row r="3" spans="1:13" ht="14.4" x14ac:dyDescent="0.25">
      <c r="A3" s="13" t="s">
        <v>17</v>
      </c>
      <c r="B3" s="100" t="s">
        <v>85</v>
      </c>
      <c r="C3" s="22"/>
      <c r="D3" s="22"/>
    </row>
    <row r="4" spans="1:13" ht="14.4" x14ac:dyDescent="0.25">
      <c r="A4" s="13" t="s">
        <v>18</v>
      </c>
      <c r="B4" s="100" t="s">
        <v>19</v>
      </c>
      <c r="C4" s="22"/>
      <c r="D4" s="22"/>
    </row>
    <row r="5" spans="1:13" ht="14.4" x14ac:dyDescent="0.25">
      <c r="B5" s="15" t="s">
        <v>39</v>
      </c>
      <c r="C5" s="16"/>
      <c r="D5" s="14"/>
      <c r="E5" s="17"/>
    </row>
    <row r="7" spans="1:13" ht="14.4" x14ac:dyDescent="0.25">
      <c r="B7" s="15"/>
      <c r="C7" s="16"/>
      <c r="D7" s="14"/>
    </row>
    <row r="8" spans="1:13" ht="14.4" x14ac:dyDescent="0.25">
      <c r="B8" s="570" t="s">
        <v>1</v>
      </c>
      <c r="C8" s="10" t="s">
        <v>0</v>
      </c>
      <c r="D8" s="9" t="s">
        <v>12</v>
      </c>
      <c r="E8" s="9" t="s">
        <v>4</v>
      </c>
      <c r="F8" s="9" t="s">
        <v>38</v>
      </c>
      <c r="G8" s="9" t="s">
        <v>6</v>
      </c>
      <c r="H8" s="12" t="s">
        <v>5</v>
      </c>
      <c r="I8" s="11" t="s">
        <v>13</v>
      </c>
      <c r="J8" s="11" t="s">
        <v>26</v>
      </c>
      <c r="K8" s="12" t="s">
        <v>14</v>
      </c>
      <c r="L8" s="570" t="s">
        <v>7</v>
      </c>
      <c r="M8" s="572" t="s">
        <v>8</v>
      </c>
    </row>
    <row r="9" spans="1:13" ht="14.4" x14ac:dyDescent="0.3">
      <c r="B9" s="571"/>
      <c r="C9" s="18" t="s">
        <v>9</v>
      </c>
      <c r="D9" s="19" t="s">
        <v>10</v>
      </c>
      <c r="E9" s="19" t="s">
        <v>10</v>
      </c>
      <c r="F9" s="19" t="s">
        <v>10</v>
      </c>
      <c r="G9" s="18" t="s">
        <v>9</v>
      </c>
      <c r="H9" s="20" t="s">
        <v>11</v>
      </c>
      <c r="I9" s="21" t="s">
        <v>11</v>
      </c>
      <c r="J9" s="21" t="s">
        <v>27</v>
      </c>
      <c r="K9" s="20" t="s">
        <v>15</v>
      </c>
      <c r="L9" s="571"/>
      <c r="M9" s="573"/>
    </row>
    <row r="10" spans="1:13" ht="15.6" x14ac:dyDescent="0.25">
      <c r="B10" s="23" t="s">
        <v>458</v>
      </c>
      <c r="C10" s="24"/>
      <c r="D10" s="25"/>
      <c r="E10" s="24"/>
      <c r="F10" s="26"/>
      <c r="G10" s="27"/>
      <c r="H10" s="28"/>
      <c r="I10" s="28"/>
      <c r="J10" s="28"/>
      <c r="K10" s="28"/>
      <c r="L10" s="29"/>
      <c r="M10" s="30"/>
    </row>
    <row r="11" spans="1:13" ht="15" thickBot="1" x14ac:dyDescent="0.35">
      <c r="B11" s="43" t="s">
        <v>463</v>
      </c>
      <c r="C11" s="44"/>
      <c r="D11" s="45"/>
      <c r="E11" s="45"/>
      <c r="F11" s="45"/>
      <c r="G11" s="44"/>
      <c r="H11" s="46"/>
      <c r="I11" s="47"/>
      <c r="J11" s="47"/>
      <c r="K11" s="46"/>
      <c r="L11" s="46"/>
      <c r="M11" s="48"/>
    </row>
    <row r="12" spans="1:13" ht="29.4" thickBot="1" x14ac:dyDescent="0.35">
      <c r="B12" s="148" t="s">
        <v>493</v>
      </c>
      <c r="C12" s="155"/>
      <c r="D12" s="155">
        <v>3.1</v>
      </c>
      <c r="E12" s="505"/>
      <c r="F12" s="155"/>
      <c r="G12" s="152">
        <v>4</v>
      </c>
      <c r="H12" s="269"/>
      <c r="I12" s="506"/>
      <c r="J12" s="560"/>
      <c r="K12" s="269"/>
      <c r="L12" s="155" t="s">
        <v>46</v>
      </c>
      <c r="M12" s="508">
        <f>G12*D12</f>
        <v>12.4</v>
      </c>
    </row>
    <row r="13" spans="1:13" ht="29.4" thickBot="1" x14ac:dyDescent="0.35">
      <c r="B13" s="148" t="s">
        <v>494</v>
      </c>
      <c r="C13" s="35"/>
      <c r="D13" s="35">
        <v>2.4</v>
      </c>
      <c r="E13" s="509"/>
      <c r="F13" s="35"/>
      <c r="G13" s="32">
        <v>4</v>
      </c>
      <c r="H13" s="253"/>
      <c r="I13" s="557"/>
      <c r="J13" s="510"/>
      <c r="K13" s="253"/>
      <c r="L13" s="35" t="s">
        <v>46</v>
      </c>
      <c r="M13" s="561">
        <f t="shared" ref="M13:M14" si="0">G13*D13</f>
        <v>9.6</v>
      </c>
    </row>
    <row r="14" spans="1:13" ht="29.4" thickBot="1" x14ac:dyDescent="0.35">
      <c r="B14" s="148" t="s">
        <v>495</v>
      </c>
      <c r="C14" s="63"/>
      <c r="D14" s="63">
        <v>1.5</v>
      </c>
      <c r="E14" s="518"/>
      <c r="F14" s="63"/>
      <c r="G14" s="60">
        <v>4</v>
      </c>
      <c r="H14" s="249"/>
      <c r="I14" s="559"/>
      <c r="J14" s="519"/>
      <c r="K14" s="249"/>
      <c r="L14" s="146" t="s">
        <v>46</v>
      </c>
      <c r="M14" s="529">
        <f t="shared" si="0"/>
        <v>6</v>
      </c>
    </row>
    <row r="15" spans="1:13" ht="14.4" x14ac:dyDescent="0.3">
      <c r="B15" s="279" t="s">
        <v>459</v>
      </c>
      <c r="C15" s="72">
        <v>20</v>
      </c>
      <c r="D15" s="72"/>
      <c r="E15" s="522"/>
      <c r="F15" s="72"/>
      <c r="G15" s="69">
        <v>1</v>
      </c>
      <c r="H15" s="257"/>
      <c r="I15" s="507"/>
      <c r="J15" s="507"/>
      <c r="K15" s="269"/>
      <c r="L15" s="72" t="s">
        <v>16</v>
      </c>
      <c r="M15" s="508">
        <f>G15*C15</f>
        <v>20</v>
      </c>
    </row>
    <row r="16" spans="1:13" ht="14.4" x14ac:dyDescent="0.3">
      <c r="B16" s="137" t="s">
        <v>498</v>
      </c>
      <c r="C16" s="41"/>
      <c r="D16" s="41">
        <v>1</v>
      </c>
      <c r="E16" s="513">
        <v>1</v>
      </c>
      <c r="F16" s="35">
        <v>0.5</v>
      </c>
      <c r="G16" s="38">
        <v>20</v>
      </c>
      <c r="H16" s="514"/>
      <c r="I16" s="515"/>
      <c r="J16" s="510">
        <f>G16*F16*E16*D16</f>
        <v>10</v>
      </c>
      <c r="K16" s="511"/>
      <c r="L16" s="35" t="s">
        <v>29</v>
      </c>
      <c r="M16" s="512">
        <f>J16</f>
        <v>10</v>
      </c>
    </row>
    <row r="17" spans="2:13" ht="14.4" x14ac:dyDescent="0.3">
      <c r="B17" s="137" t="s">
        <v>499</v>
      </c>
      <c r="C17" s="41"/>
      <c r="D17" s="41">
        <v>3.8</v>
      </c>
      <c r="E17" s="513"/>
      <c r="F17" s="35"/>
      <c r="G17" s="38">
        <v>20</v>
      </c>
      <c r="H17" s="514"/>
      <c r="I17" s="515"/>
      <c r="J17" s="510"/>
      <c r="K17" s="511"/>
      <c r="L17" s="35" t="s">
        <v>46</v>
      </c>
      <c r="M17" s="512">
        <f>G17*D17</f>
        <v>76</v>
      </c>
    </row>
    <row r="18" spans="2:13" ht="14.4" x14ac:dyDescent="0.3">
      <c r="B18" s="161" t="s">
        <v>500</v>
      </c>
      <c r="C18" s="63"/>
      <c r="D18" s="63">
        <v>0.8</v>
      </c>
      <c r="E18" s="518">
        <v>0.8</v>
      </c>
      <c r="F18" s="146">
        <v>0.5</v>
      </c>
      <c r="G18" s="60">
        <v>20</v>
      </c>
      <c r="H18" s="249"/>
      <c r="I18" s="519"/>
      <c r="J18" s="520">
        <f>G18*F18*E18*D18</f>
        <v>6.4</v>
      </c>
      <c r="K18" s="511"/>
      <c r="L18" s="146" t="s">
        <v>29</v>
      </c>
      <c r="M18" s="512">
        <f>J18</f>
        <v>6.4</v>
      </c>
    </row>
    <row r="19" spans="2:13" ht="14.4" x14ac:dyDescent="0.3">
      <c r="B19" s="7" t="s">
        <v>501</v>
      </c>
      <c r="C19" s="35"/>
      <c r="D19" s="35"/>
      <c r="E19" s="509"/>
      <c r="F19" s="35"/>
      <c r="G19" s="32"/>
      <c r="H19" s="253"/>
      <c r="I19" s="510"/>
      <c r="J19" s="510"/>
      <c r="K19" s="253"/>
      <c r="L19" s="35"/>
      <c r="M19" s="561"/>
    </row>
    <row r="20" spans="2:13" ht="14.4" x14ac:dyDescent="0.3">
      <c r="B20" s="7"/>
      <c r="C20" s="35"/>
      <c r="D20" s="35"/>
      <c r="E20" s="509"/>
      <c r="F20" s="35"/>
      <c r="G20" s="32"/>
      <c r="H20" s="253"/>
      <c r="I20" s="510"/>
      <c r="J20" s="510"/>
      <c r="K20" s="253"/>
      <c r="L20" s="35"/>
      <c r="M20" s="561"/>
    </row>
    <row r="21" spans="2:13" ht="14.4" x14ac:dyDescent="0.3">
      <c r="B21" s="137"/>
      <c r="C21" s="41"/>
      <c r="D21" s="41"/>
      <c r="E21" s="513"/>
      <c r="F21" s="41"/>
      <c r="G21" s="38"/>
      <c r="H21" s="514"/>
      <c r="I21" s="515"/>
      <c r="J21" s="515"/>
      <c r="K21" s="249"/>
      <c r="L21" s="63"/>
      <c r="M21" s="521"/>
    </row>
    <row r="22" spans="2:13" ht="28.8" x14ac:dyDescent="0.3">
      <c r="B22" s="516" t="s">
        <v>460</v>
      </c>
      <c r="C22" s="41">
        <v>59</v>
      </c>
      <c r="D22" s="41"/>
      <c r="E22" s="513"/>
      <c r="F22" s="35"/>
      <c r="G22" s="38">
        <v>1</v>
      </c>
      <c r="H22" s="514"/>
      <c r="I22" s="515"/>
      <c r="J22" s="510"/>
      <c r="K22" s="511"/>
      <c r="L22" s="146" t="s">
        <v>16</v>
      </c>
      <c r="M22" s="512">
        <f t="shared" ref="M22:M23" si="1">G22*C22</f>
        <v>59</v>
      </c>
    </row>
    <row r="23" spans="2:13" ht="28.8" x14ac:dyDescent="0.3">
      <c r="B23" s="516" t="s">
        <v>461</v>
      </c>
      <c r="C23" s="41">
        <v>24</v>
      </c>
      <c r="D23" s="41"/>
      <c r="E23" s="513"/>
      <c r="F23" s="35"/>
      <c r="G23" s="38">
        <v>1</v>
      </c>
      <c r="H23" s="514"/>
      <c r="I23" s="515"/>
      <c r="J23" s="510"/>
      <c r="K23" s="511"/>
      <c r="L23" s="146" t="s">
        <v>16</v>
      </c>
      <c r="M23" s="512">
        <f t="shared" si="1"/>
        <v>24</v>
      </c>
    </row>
    <row r="24" spans="2:13" ht="28.8" x14ac:dyDescent="0.3">
      <c r="B24" s="516" t="s">
        <v>462</v>
      </c>
      <c r="C24" s="41">
        <v>20</v>
      </c>
      <c r="D24" s="41"/>
      <c r="E24" s="513"/>
      <c r="F24" s="35"/>
      <c r="G24" s="38">
        <v>1</v>
      </c>
      <c r="H24" s="514"/>
      <c r="I24" s="515"/>
      <c r="J24" s="510"/>
      <c r="K24" s="511"/>
      <c r="L24" s="146" t="s">
        <v>16</v>
      </c>
      <c r="M24" s="512">
        <f t="shared" ref="M24" si="2">G24*C24</f>
        <v>20</v>
      </c>
    </row>
    <row r="25" spans="2:13" ht="14.4" x14ac:dyDescent="0.3">
      <c r="B25" s="516"/>
      <c r="C25" s="41"/>
      <c r="D25" s="41"/>
      <c r="E25" s="513"/>
      <c r="F25" s="35"/>
      <c r="G25" s="38"/>
      <c r="H25" s="514"/>
      <c r="I25" s="515"/>
      <c r="J25" s="510"/>
      <c r="K25" s="511"/>
      <c r="L25" s="146"/>
      <c r="M25" s="512"/>
    </row>
    <row r="26" spans="2:13" ht="15" thickBot="1" x14ac:dyDescent="0.35">
      <c r="B26" s="517" t="s">
        <v>464</v>
      </c>
      <c r="C26" s="63"/>
      <c r="D26" s="63"/>
      <c r="E26" s="518"/>
      <c r="F26" s="146"/>
      <c r="G26" s="60"/>
      <c r="H26" s="249"/>
      <c r="I26" s="519"/>
      <c r="J26" s="520"/>
      <c r="K26" s="511"/>
      <c r="L26" s="146"/>
      <c r="M26" s="512"/>
    </row>
    <row r="27" spans="2:13" ht="43.2" x14ac:dyDescent="0.3">
      <c r="B27" s="538" t="s">
        <v>465</v>
      </c>
      <c r="C27" s="72"/>
      <c r="D27" s="72">
        <v>51.94</v>
      </c>
      <c r="E27" s="522">
        <v>4.57</v>
      </c>
      <c r="F27" s="72"/>
      <c r="G27" s="69">
        <v>1</v>
      </c>
      <c r="H27" s="257">
        <f>G27*E27*D27</f>
        <v>237.36580000000001</v>
      </c>
      <c r="I27" s="507"/>
      <c r="J27" s="507"/>
      <c r="K27" s="269"/>
      <c r="L27" s="155" t="s">
        <v>3</v>
      </c>
      <c r="M27" s="508">
        <f>H27</f>
        <v>237.36580000000001</v>
      </c>
    </row>
    <row r="28" spans="2:13" ht="14.4" x14ac:dyDescent="0.3">
      <c r="B28" s="516"/>
      <c r="C28" s="41"/>
      <c r="D28" s="41">
        <v>27.82</v>
      </c>
      <c r="E28" s="513">
        <v>6.72</v>
      </c>
      <c r="F28" s="35"/>
      <c r="G28" s="38">
        <v>1</v>
      </c>
      <c r="H28" s="514">
        <f t="shared" ref="H28:H91" si="3">G28*E28*D28</f>
        <v>186.9504</v>
      </c>
      <c r="I28" s="515"/>
      <c r="J28" s="510"/>
      <c r="K28" s="511"/>
      <c r="L28" s="146" t="s">
        <v>3</v>
      </c>
      <c r="M28" s="512">
        <f t="shared" ref="M28:M31" si="4">G28*E28*D28</f>
        <v>186.9504</v>
      </c>
    </row>
    <row r="29" spans="2:13" ht="14.4" x14ac:dyDescent="0.3">
      <c r="B29" s="516"/>
      <c r="C29" s="41"/>
      <c r="D29" s="41">
        <v>22.8</v>
      </c>
      <c r="E29" s="513">
        <v>4.7699999999999996</v>
      </c>
      <c r="F29" s="35"/>
      <c r="G29" s="38">
        <v>1</v>
      </c>
      <c r="H29" s="514">
        <f t="shared" si="3"/>
        <v>108.756</v>
      </c>
      <c r="I29" s="515"/>
      <c r="J29" s="510"/>
      <c r="K29" s="511"/>
      <c r="L29" s="146" t="s">
        <v>3</v>
      </c>
      <c r="M29" s="512">
        <f t="shared" si="4"/>
        <v>108.756</v>
      </c>
    </row>
    <row r="30" spans="2:13" ht="14.4" x14ac:dyDescent="0.3">
      <c r="B30" s="516"/>
      <c r="C30" s="41"/>
      <c r="D30" s="41">
        <v>27.19</v>
      </c>
      <c r="E30" s="513">
        <v>4.3499999999999996</v>
      </c>
      <c r="F30" s="35"/>
      <c r="G30" s="38">
        <v>1</v>
      </c>
      <c r="H30" s="514">
        <f t="shared" si="3"/>
        <v>118.2765</v>
      </c>
      <c r="I30" s="515"/>
      <c r="J30" s="510"/>
      <c r="K30" s="511"/>
      <c r="L30" s="146" t="s">
        <v>3</v>
      </c>
      <c r="M30" s="512">
        <f t="shared" si="4"/>
        <v>118.2765</v>
      </c>
    </row>
    <row r="31" spans="2:13" ht="14.4" x14ac:dyDescent="0.3">
      <c r="B31" s="516"/>
      <c r="C31" s="41"/>
      <c r="D31" s="41">
        <v>17</v>
      </c>
      <c r="E31" s="513">
        <v>14.4</v>
      </c>
      <c r="F31" s="35"/>
      <c r="G31" s="38">
        <v>1</v>
      </c>
      <c r="H31" s="514">
        <f t="shared" si="3"/>
        <v>244.8</v>
      </c>
      <c r="I31" s="515"/>
      <c r="J31" s="510"/>
      <c r="K31" s="511"/>
      <c r="L31" s="146" t="s">
        <v>3</v>
      </c>
      <c r="M31" s="512">
        <f t="shared" si="4"/>
        <v>244.8</v>
      </c>
    </row>
    <row r="32" spans="2:13" ht="14.4" x14ac:dyDescent="0.3">
      <c r="B32" s="516"/>
      <c r="C32" s="41"/>
      <c r="D32" s="41">
        <v>31.9</v>
      </c>
      <c r="E32" s="513">
        <v>2.75</v>
      </c>
      <c r="F32" s="35"/>
      <c r="G32" s="38">
        <v>1</v>
      </c>
      <c r="H32" s="514">
        <f t="shared" si="3"/>
        <v>87.724999999999994</v>
      </c>
      <c r="I32" s="515"/>
      <c r="J32" s="510"/>
      <c r="K32" s="511"/>
      <c r="L32" s="146" t="s">
        <v>3</v>
      </c>
      <c r="M32" s="512">
        <f t="shared" ref="M32:M40" si="5">G32*E32*D32</f>
        <v>87.724999999999994</v>
      </c>
    </row>
    <row r="33" spans="2:13" ht="14.4" x14ac:dyDescent="0.3">
      <c r="B33" s="516"/>
      <c r="C33" s="41"/>
      <c r="D33" s="41">
        <v>2.2599999999999998</v>
      </c>
      <c r="E33" s="513">
        <v>2.39</v>
      </c>
      <c r="F33" s="35"/>
      <c r="G33" s="38">
        <v>1</v>
      </c>
      <c r="H33" s="514">
        <f t="shared" si="3"/>
        <v>5.4013999999999998</v>
      </c>
      <c r="I33" s="515"/>
      <c r="J33" s="510"/>
      <c r="K33" s="511"/>
      <c r="L33" s="146" t="s">
        <v>3</v>
      </c>
      <c r="M33" s="512">
        <f t="shared" si="5"/>
        <v>5.4013999999999998</v>
      </c>
    </row>
    <row r="34" spans="2:13" ht="14.4" x14ac:dyDescent="0.3">
      <c r="B34" s="137"/>
      <c r="C34" s="41"/>
      <c r="D34" s="41">
        <v>14.15</v>
      </c>
      <c r="E34" s="513">
        <v>2.15</v>
      </c>
      <c r="F34" s="35"/>
      <c r="G34" s="38">
        <v>1</v>
      </c>
      <c r="H34" s="514">
        <f t="shared" si="3"/>
        <v>30.422499999999999</v>
      </c>
      <c r="I34" s="515"/>
      <c r="J34" s="510"/>
      <c r="K34" s="511"/>
      <c r="L34" s="146" t="s">
        <v>3</v>
      </c>
      <c r="M34" s="512">
        <f t="shared" si="5"/>
        <v>30.422499999999999</v>
      </c>
    </row>
    <row r="35" spans="2:13" ht="14.4" x14ac:dyDescent="0.3">
      <c r="B35" s="137"/>
      <c r="C35" s="41"/>
      <c r="D35" s="41">
        <v>21.42</v>
      </c>
      <c r="E35" s="513">
        <v>1.94</v>
      </c>
      <c r="F35" s="35"/>
      <c r="G35" s="38">
        <v>1</v>
      </c>
      <c r="H35" s="514">
        <f t="shared" si="3"/>
        <v>41.5548</v>
      </c>
      <c r="I35" s="515"/>
      <c r="J35" s="510"/>
      <c r="K35" s="511"/>
      <c r="L35" s="146" t="s">
        <v>3</v>
      </c>
      <c r="M35" s="512">
        <f t="shared" si="5"/>
        <v>41.5548</v>
      </c>
    </row>
    <row r="36" spans="2:13" ht="14.4" x14ac:dyDescent="0.3">
      <c r="B36" s="137"/>
      <c r="C36" s="41"/>
      <c r="D36" s="41">
        <v>3.39</v>
      </c>
      <c r="E36" s="513">
        <v>3.55</v>
      </c>
      <c r="F36" s="35"/>
      <c r="G36" s="38">
        <v>1</v>
      </c>
      <c r="H36" s="514">
        <f t="shared" si="3"/>
        <v>12.0345</v>
      </c>
      <c r="I36" s="515"/>
      <c r="J36" s="510"/>
      <c r="K36" s="511"/>
      <c r="L36" s="146" t="s">
        <v>3</v>
      </c>
      <c r="M36" s="512">
        <f t="shared" si="5"/>
        <v>12.0345</v>
      </c>
    </row>
    <row r="37" spans="2:13" ht="14.4" x14ac:dyDescent="0.3">
      <c r="B37" s="137"/>
      <c r="C37" s="41"/>
      <c r="D37" s="41">
        <v>16.68</v>
      </c>
      <c r="E37" s="513">
        <v>1.55</v>
      </c>
      <c r="F37" s="35"/>
      <c r="G37" s="38">
        <v>1</v>
      </c>
      <c r="H37" s="514">
        <f t="shared" si="3"/>
        <v>25.853999999999999</v>
      </c>
      <c r="I37" s="515"/>
      <c r="J37" s="510"/>
      <c r="K37" s="511"/>
      <c r="L37" s="146" t="s">
        <v>3</v>
      </c>
      <c r="M37" s="512">
        <f t="shared" si="5"/>
        <v>25.853999999999999</v>
      </c>
    </row>
    <row r="38" spans="2:13" ht="14.4" x14ac:dyDescent="0.3">
      <c r="B38" s="137"/>
      <c r="C38" s="41"/>
      <c r="D38" s="41">
        <v>4.5999999999999996</v>
      </c>
      <c r="E38" s="513">
        <v>0.63</v>
      </c>
      <c r="F38" s="35"/>
      <c r="G38" s="38">
        <v>1</v>
      </c>
      <c r="H38" s="514">
        <f t="shared" si="3"/>
        <v>2.8979999999999997</v>
      </c>
      <c r="I38" s="515"/>
      <c r="J38" s="510"/>
      <c r="K38" s="511"/>
      <c r="L38" s="146" t="s">
        <v>3</v>
      </c>
      <c r="M38" s="512">
        <f t="shared" si="5"/>
        <v>2.8979999999999997</v>
      </c>
    </row>
    <row r="39" spans="2:13" ht="14.4" x14ac:dyDescent="0.3">
      <c r="B39" s="137"/>
      <c r="C39" s="41"/>
      <c r="D39" s="41">
        <v>2.48</v>
      </c>
      <c r="E39" s="513">
        <v>0.63</v>
      </c>
      <c r="F39" s="35"/>
      <c r="G39" s="38">
        <v>1</v>
      </c>
      <c r="H39" s="514">
        <f t="shared" si="3"/>
        <v>1.5624</v>
      </c>
      <c r="I39" s="515"/>
      <c r="J39" s="510"/>
      <c r="K39" s="511"/>
      <c r="L39" s="146" t="s">
        <v>3</v>
      </c>
      <c r="M39" s="512">
        <f t="shared" si="5"/>
        <v>1.5624</v>
      </c>
    </row>
    <row r="40" spans="2:13" ht="14.4" x14ac:dyDescent="0.3">
      <c r="B40" s="137"/>
      <c r="C40" s="41"/>
      <c r="D40" s="41">
        <v>11.71</v>
      </c>
      <c r="E40" s="513">
        <v>3.55</v>
      </c>
      <c r="F40" s="35"/>
      <c r="G40" s="38">
        <v>1</v>
      </c>
      <c r="H40" s="514">
        <f t="shared" si="3"/>
        <v>41.570500000000003</v>
      </c>
      <c r="I40" s="515"/>
      <c r="J40" s="510"/>
      <c r="K40" s="511"/>
      <c r="L40" s="146" t="s">
        <v>3</v>
      </c>
      <c r="M40" s="512">
        <f t="shared" si="5"/>
        <v>41.570500000000003</v>
      </c>
    </row>
    <row r="41" spans="2:13" ht="15" thickBot="1" x14ac:dyDescent="0.35">
      <c r="B41" s="205" t="s">
        <v>466</v>
      </c>
      <c r="C41" s="211"/>
      <c r="D41" s="211"/>
      <c r="E41" s="533"/>
      <c r="F41" s="531"/>
      <c r="G41" s="534"/>
      <c r="H41" s="535"/>
      <c r="I41" s="211"/>
      <c r="J41" s="531"/>
      <c r="K41" s="536"/>
      <c r="L41" s="531" t="s">
        <v>3</v>
      </c>
      <c r="M41" s="532">
        <f>SUM(M27:M40)</f>
        <v>1145.1717999999998</v>
      </c>
    </row>
    <row r="42" spans="2:13" ht="14.4" x14ac:dyDescent="0.3">
      <c r="B42" s="537" t="s">
        <v>467</v>
      </c>
      <c r="C42" s="41"/>
      <c r="D42" s="41">
        <v>1.21</v>
      </c>
      <c r="E42" s="513">
        <v>0.25</v>
      </c>
      <c r="F42" s="41"/>
      <c r="G42" s="38">
        <v>1</v>
      </c>
      <c r="H42" s="514">
        <f t="shared" si="3"/>
        <v>0.30249999999999999</v>
      </c>
      <c r="I42" s="515"/>
      <c r="J42" s="515"/>
      <c r="K42" s="249"/>
      <c r="L42" s="63" t="s">
        <v>3</v>
      </c>
      <c r="M42" s="521">
        <f>H42</f>
        <v>0.30249999999999999</v>
      </c>
    </row>
    <row r="43" spans="2:13" ht="14.4" x14ac:dyDescent="0.3">
      <c r="B43" s="137"/>
      <c r="C43" s="41"/>
      <c r="D43" s="41">
        <v>0.76</v>
      </c>
      <c r="E43" s="513">
        <v>0.25</v>
      </c>
      <c r="F43" s="35"/>
      <c r="G43" s="38">
        <v>1</v>
      </c>
      <c r="H43" s="514">
        <f t="shared" si="3"/>
        <v>0.19</v>
      </c>
      <c r="I43" s="515"/>
      <c r="J43" s="510"/>
      <c r="K43" s="511"/>
      <c r="L43" s="146" t="s">
        <v>3</v>
      </c>
      <c r="M43" s="512">
        <f>H43</f>
        <v>0.19</v>
      </c>
    </row>
    <row r="44" spans="2:13" ht="14.4" x14ac:dyDescent="0.3">
      <c r="B44" s="137"/>
      <c r="C44" s="41"/>
      <c r="D44" s="41">
        <v>1</v>
      </c>
      <c r="E44" s="513">
        <v>0.25</v>
      </c>
      <c r="F44" s="35"/>
      <c r="G44" s="38">
        <v>2</v>
      </c>
      <c r="H44" s="514">
        <f t="shared" si="3"/>
        <v>0.5</v>
      </c>
      <c r="I44" s="515"/>
      <c r="J44" s="510"/>
      <c r="K44" s="511"/>
      <c r="L44" s="146" t="s">
        <v>3</v>
      </c>
      <c r="M44" s="512">
        <f t="shared" ref="M44:M92" si="6">H44</f>
        <v>0.5</v>
      </c>
    </row>
    <row r="45" spans="2:13" ht="14.4" x14ac:dyDescent="0.3">
      <c r="B45" s="137"/>
      <c r="C45" s="41"/>
      <c r="D45" s="41">
        <v>8.8000000000000007</v>
      </c>
      <c r="E45" s="513">
        <v>0.25</v>
      </c>
      <c r="F45" s="35"/>
      <c r="G45" s="38">
        <v>1</v>
      </c>
      <c r="H45" s="514">
        <f t="shared" si="3"/>
        <v>2.2000000000000002</v>
      </c>
      <c r="I45" s="515"/>
      <c r="J45" s="510"/>
      <c r="K45" s="511"/>
      <c r="L45" s="146" t="s">
        <v>3</v>
      </c>
      <c r="M45" s="512">
        <f t="shared" si="6"/>
        <v>2.2000000000000002</v>
      </c>
    </row>
    <row r="46" spans="2:13" ht="14.4" x14ac:dyDescent="0.3">
      <c r="B46" s="137"/>
      <c r="C46" s="41"/>
      <c r="D46" s="41">
        <v>1.2</v>
      </c>
      <c r="E46" s="513">
        <v>0.25</v>
      </c>
      <c r="F46" s="35"/>
      <c r="G46" s="38">
        <v>1</v>
      </c>
      <c r="H46" s="514">
        <f t="shared" si="3"/>
        <v>0.3</v>
      </c>
      <c r="I46" s="515"/>
      <c r="J46" s="510"/>
      <c r="K46" s="511"/>
      <c r="L46" s="146" t="s">
        <v>3</v>
      </c>
      <c r="M46" s="512">
        <f t="shared" si="6"/>
        <v>0.3</v>
      </c>
    </row>
    <row r="47" spans="2:13" ht="14.4" x14ac:dyDescent="0.3">
      <c r="B47" s="137"/>
      <c r="C47" s="41"/>
      <c r="D47" s="41">
        <v>16.86</v>
      </c>
      <c r="E47" s="513">
        <v>0.25</v>
      </c>
      <c r="F47" s="35"/>
      <c r="G47" s="38">
        <v>1</v>
      </c>
      <c r="H47" s="514">
        <f t="shared" si="3"/>
        <v>4.2149999999999999</v>
      </c>
      <c r="I47" s="515"/>
      <c r="J47" s="510"/>
      <c r="K47" s="511"/>
      <c r="L47" s="146" t="s">
        <v>3</v>
      </c>
      <c r="M47" s="512">
        <f t="shared" si="6"/>
        <v>4.2149999999999999</v>
      </c>
    </row>
    <row r="48" spans="2:13" ht="14.4" x14ac:dyDescent="0.3">
      <c r="B48" s="137"/>
      <c r="C48" s="41"/>
      <c r="D48" s="41">
        <v>17.34</v>
      </c>
      <c r="E48" s="513">
        <v>0.25</v>
      </c>
      <c r="F48" s="35"/>
      <c r="G48" s="38">
        <v>1</v>
      </c>
      <c r="H48" s="514">
        <f t="shared" si="3"/>
        <v>4.335</v>
      </c>
      <c r="I48" s="515"/>
      <c r="J48" s="510"/>
      <c r="K48" s="511"/>
      <c r="L48" s="146" t="s">
        <v>3</v>
      </c>
      <c r="M48" s="512">
        <f t="shared" si="6"/>
        <v>4.335</v>
      </c>
    </row>
    <row r="49" spans="2:13" ht="14.4" x14ac:dyDescent="0.3">
      <c r="B49" s="137"/>
      <c r="C49" s="41"/>
      <c r="D49" s="41">
        <v>7.49</v>
      </c>
      <c r="E49" s="513">
        <v>0.25</v>
      </c>
      <c r="F49" s="35"/>
      <c r="G49" s="38">
        <v>1</v>
      </c>
      <c r="H49" s="514">
        <f t="shared" si="3"/>
        <v>1.8725000000000001</v>
      </c>
      <c r="I49" s="515"/>
      <c r="J49" s="510"/>
      <c r="K49" s="511"/>
      <c r="L49" s="146" t="s">
        <v>3</v>
      </c>
      <c r="M49" s="512">
        <f t="shared" si="6"/>
        <v>1.8725000000000001</v>
      </c>
    </row>
    <row r="50" spans="2:13" ht="14.4" x14ac:dyDescent="0.3">
      <c r="B50" s="137"/>
      <c r="C50" s="41"/>
      <c r="D50" s="41">
        <v>7.25</v>
      </c>
      <c r="E50" s="513">
        <v>0.25</v>
      </c>
      <c r="F50" s="35"/>
      <c r="G50" s="38">
        <v>1</v>
      </c>
      <c r="H50" s="514">
        <f t="shared" si="3"/>
        <v>1.8125</v>
      </c>
      <c r="I50" s="515"/>
      <c r="J50" s="510"/>
      <c r="K50" s="511"/>
      <c r="L50" s="146" t="s">
        <v>3</v>
      </c>
      <c r="M50" s="512">
        <f t="shared" si="6"/>
        <v>1.8125</v>
      </c>
    </row>
    <row r="51" spans="2:13" ht="14.4" x14ac:dyDescent="0.3">
      <c r="B51" s="137"/>
      <c r="C51" s="41"/>
      <c r="D51" s="41">
        <v>3.22</v>
      </c>
      <c r="E51" s="513">
        <v>0.25</v>
      </c>
      <c r="F51" s="35"/>
      <c r="G51" s="38">
        <v>1</v>
      </c>
      <c r="H51" s="514">
        <f t="shared" si="3"/>
        <v>0.80500000000000005</v>
      </c>
      <c r="I51" s="515"/>
      <c r="J51" s="510"/>
      <c r="K51" s="511"/>
      <c r="L51" s="146" t="s">
        <v>3</v>
      </c>
      <c r="M51" s="512">
        <f t="shared" si="6"/>
        <v>0.80500000000000005</v>
      </c>
    </row>
    <row r="52" spans="2:13" ht="14.4" x14ac:dyDescent="0.3">
      <c r="B52" s="137"/>
      <c r="C52" s="41"/>
      <c r="D52" s="41">
        <v>4.2</v>
      </c>
      <c r="E52" s="513">
        <v>0.25</v>
      </c>
      <c r="F52" s="35"/>
      <c r="G52" s="38">
        <v>2</v>
      </c>
      <c r="H52" s="514">
        <f t="shared" si="3"/>
        <v>2.1</v>
      </c>
      <c r="I52" s="515"/>
      <c r="J52" s="510"/>
      <c r="K52" s="511"/>
      <c r="L52" s="146" t="s">
        <v>3</v>
      </c>
      <c r="M52" s="512">
        <f t="shared" si="6"/>
        <v>2.1</v>
      </c>
    </row>
    <row r="53" spans="2:13" ht="14.4" x14ac:dyDescent="0.3">
      <c r="B53" s="137"/>
      <c r="C53" s="41"/>
      <c r="D53" s="41">
        <v>4.8</v>
      </c>
      <c r="E53" s="513">
        <v>0.25</v>
      </c>
      <c r="F53" s="35"/>
      <c r="G53" s="38">
        <v>2</v>
      </c>
      <c r="H53" s="514">
        <f t="shared" si="3"/>
        <v>2.4</v>
      </c>
      <c r="I53" s="515"/>
      <c r="J53" s="510"/>
      <c r="K53" s="511"/>
      <c r="L53" s="146" t="s">
        <v>3</v>
      </c>
      <c r="M53" s="512">
        <f t="shared" si="6"/>
        <v>2.4</v>
      </c>
    </row>
    <row r="54" spans="2:13" ht="14.4" x14ac:dyDescent="0.3">
      <c r="B54" s="137"/>
      <c r="C54" s="41"/>
      <c r="D54" s="41">
        <v>3.98</v>
      </c>
      <c r="E54" s="513">
        <v>0.25</v>
      </c>
      <c r="F54" s="35"/>
      <c r="G54" s="38">
        <v>1</v>
      </c>
      <c r="H54" s="514">
        <f t="shared" si="3"/>
        <v>0.995</v>
      </c>
      <c r="I54" s="515"/>
      <c r="J54" s="510"/>
      <c r="K54" s="511"/>
      <c r="L54" s="146" t="s">
        <v>3</v>
      </c>
      <c r="M54" s="512">
        <f t="shared" si="6"/>
        <v>0.995</v>
      </c>
    </row>
    <row r="55" spans="2:13" ht="14.4" x14ac:dyDescent="0.3">
      <c r="B55" s="137"/>
      <c r="C55" s="41"/>
      <c r="D55" s="41">
        <v>0.78</v>
      </c>
      <c r="E55" s="513">
        <v>0.25</v>
      </c>
      <c r="F55" s="35"/>
      <c r="G55" s="38">
        <v>2</v>
      </c>
      <c r="H55" s="514">
        <f t="shared" si="3"/>
        <v>0.39</v>
      </c>
      <c r="I55" s="515"/>
      <c r="J55" s="510"/>
      <c r="K55" s="511"/>
      <c r="L55" s="146" t="s">
        <v>3</v>
      </c>
      <c r="M55" s="512">
        <f t="shared" si="6"/>
        <v>0.39</v>
      </c>
    </row>
    <row r="56" spans="2:13" ht="14.4" x14ac:dyDescent="0.3">
      <c r="B56" s="137"/>
      <c r="C56" s="41"/>
      <c r="D56" s="41">
        <v>3.6</v>
      </c>
      <c r="E56" s="513">
        <v>0.25</v>
      </c>
      <c r="F56" s="35"/>
      <c r="G56" s="38">
        <v>3</v>
      </c>
      <c r="H56" s="514">
        <f t="shared" si="3"/>
        <v>2.7</v>
      </c>
      <c r="I56" s="515"/>
      <c r="J56" s="510"/>
      <c r="K56" s="511"/>
      <c r="L56" s="146" t="s">
        <v>3</v>
      </c>
      <c r="M56" s="512">
        <f t="shared" si="6"/>
        <v>2.7</v>
      </c>
    </row>
    <row r="57" spans="2:13" ht="14.4" x14ac:dyDescent="0.3">
      <c r="B57" s="137"/>
      <c r="C57" s="41"/>
      <c r="D57" s="41">
        <v>2.6</v>
      </c>
      <c r="E57" s="513">
        <v>0.25</v>
      </c>
      <c r="F57" s="35"/>
      <c r="G57" s="38">
        <v>1</v>
      </c>
      <c r="H57" s="514">
        <f t="shared" si="3"/>
        <v>0.65</v>
      </c>
      <c r="I57" s="515"/>
      <c r="J57" s="510"/>
      <c r="K57" s="511"/>
      <c r="L57" s="146" t="s">
        <v>3</v>
      </c>
      <c r="M57" s="512">
        <f t="shared" si="6"/>
        <v>0.65</v>
      </c>
    </row>
    <row r="58" spans="2:13" ht="14.4" x14ac:dyDescent="0.3">
      <c r="B58" s="137"/>
      <c r="C58" s="41"/>
      <c r="D58" s="41">
        <v>2.88</v>
      </c>
      <c r="E58" s="513">
        <v>0.25</v>
      </c>
      <c r="F58" s="35"/>
      <c r="G58" s="38">
        <v>1</v>
      </c>
      <c r="H58" s="514">
        <f t="shared" si="3"/>
        <v>0.72</v>
      </c>
      <c r="I58" s="515"/>
      <c r="J58" s="510"/>
      <c r="K58" s="511"/>
      <c r="L58" s="146" t="s">
        <v>3</v>
      </c>
      <c r="M58" s="512">
        <f t="shared" si="6"/>
        <v>0.72</v>
      </c>
    </row>
    <row r="59" spans="2:13" ht="14.4" x14ac:dyDescent="0.3">
      <c r="B59" s="137"/>
      <c r="C59" s="41"/>
      <c r="D59" s="41">
        <v>3</v>
      </c>
      <c r="E59" s="513">
        <v>0.25</v>
      </c>
      <c r="F59" s="35"/>
      <c r="G59" s="38">
        <v>2</v>
      </c>
      <c r="H59" s="514">
        <f t="shared" si="3"/>
        <v>1.5</v>
      </c>
      <c r="I59" s="515"/>
      <c r="J59" s="510"/>
      <c r="K59" s="511"/>
      <c r="L59" s="146" t="s">
        <v>3</v>
      </c>
      <c r="M59" s="512">
        <f t="shared" si="6"/>
        <v>1.5</v>
      </c>
    </row>
    <row r="60" spans="2:13" ht="14.4" x14ac:dyDescent="0.3">
      <c r="B60" s="137"/>
      <c r="C60" s="41"/>
      <c r="D60" s="41">
        <v>5.4</v>
      </c>
      <c r="E60" s="513">
        <v>0.25</v>
      </c>
      <c r="F60" s="35"/>
      <c r="G60" s="38">
        <v>2</v>
      </c>
      <c r="H60" s="514">
        <f t="shared" si="3"/>
        <v>2.7</v>
      </c>
      <c r="I60" s="515"/>
      <c r="J60" s="510"/>
      <c r="K60" s="511"/>
      <c r="L60" s="146" t="s">
        <v>3</v>
      </c>
      <c r="M60" s="512">
        <f t="shared" si="6"/>
        <v>2.7</v>
      </c>
    </row>
    <row r="61" spans="2:13" ht="14.4" x14ac:dyDescent="0.3">
      <c r="B61" s="137"/>
      <c r="C61" s="41"/>
      <c r="D61" s="41">
        <v>3.52</v>
      </c>
      <c r="E61" s="513">
        <v>0.25</v>
      </c>
      <c r="F61" s="35"/>
      <c r="G61" s="38">
        <v>1</v>
      </c>
      <c r="H61" s="514">
        <f t="shared" si="3"/>
        <v>0.88</v>
      </c>
      <c r="I61" s="515"/>
      <c r="J61" s="510"/>
      <c r="K61" s="511"/>
      <c r="L61" s="146" t="s">
        <v>3</v>
      </c>
      <c r="M61" s="512">
        <f t="shared" si="6"/>
        <v>0.88</v>
      </c>
    </row>
    <row r="62" spans="2:13" ht="14.4" x14ac:dyDescent="0.3">
      <c r="B62" s="137"/>
      <c r="C62" s="41"/>
      <c r="D62" s="41">
        <v>2.4</v>
      </c>
      <c r="E62" s="513">
        <v>0.25</v>
      </c>
      <c r="F62" s="35"/>
      <c r="G62" s="38">
        <v>1</v>
      </c>
      <c r="H62" s="514">
        <f t="shared" si="3"/>
        <v>0.6</v>
      </c>
      <c r="I62" s="515"/>
      <c r="J62" s="510"/>
      <c r="K62" s="511"/>
      <c r="L62" s="146" t="s">
        <v>3</v>
      </c>
      <c r="M62" s="512">
        <f t="shared" si="6"/>
        <v>0.6</v>
      </c>
    </row>
    <row r="63" spans="2:13" ht="14.4" x14ac:dyDescent="0.3">
      <c r="B63" s="137"/>
      <c r="C63" s="41"/>
      <c r="D63" s="41">
        <v>3.8</v>
      </c>
      <c r="E63" s="513">
        <v>0.25</v>
      </c>
      <c r="F63" s="35"/>
      <c r="G63" s="38">
        <v>1</v>
      </c>
      <c r="H63" s="514">
        <f t="shared" si="3"/>
        <v>0.95</v>
      </c>
      <c r="I63" s="515"/>
      <c r="J63" s="510"/>
      <c r="K63" s="511"/>
      <c r="L63" s="146" t="s">
        <v>3</v>
      </c>
      <c r="M63" s="512">
        <f t="shared" si="6"/>
        <v>0.95</v>
      </c>
    </row>
    <row r="64" spans="2:13" ht="14.4" x14ac:dyDescent="0.3">
      <c r="B64" s="137"/>
      <c r="C64" s="41"/>
      <c r="D64" s="41">
        <v>5.2</v>
      </c>
      <c r="E64" s="513">
        <v>0.25</v>
      </c>
      <c r="F64" s="35"/>
      <c r="G64" s="38">
        <v>1</v>
      </c>
      <c r="H64" s="514">
        <f t="shared" si="3"/>
        <v>1.3</v>
      </c>
      <c r="I64" s="515"/>
      <c r="J64" s="510"/>
      <c r="K64" s="511"/>
      <c r="L64" s="146" t="s">
        <v>3</v>
      </c>
      <c r="M64" s="512">
        <f t="shared" si="6"/>
        <v>1.3</v>
      </c>
    </row>
    <row r="65" spans="2:13" ht="14.4" x14ac:dyDescent="0.3">
      <c r="B65" s="137"/>
      <c r="C65" s="41"/>
      <c r="D65" s="41">
        <v>5</v>
      </c>
      <c r="E65" s="513">
        <v>0.25</v>
      </c>
      <c r="F65" s="35"/>
      <c r="G65" s="38">
        <v>1</v>
      </c>
      <c r="H65" s="514">
        <f t="shared" si="3"/>
        <v>1.25</v>
      </c>
      <c r="I65" s="515"/>
      <c r="J65" s="510"/>
      <c r="K65" s="511"/>
      <c r="L65" s="146" t="s">
        <v>3</v>
      </c>
      <c r="M65" s="512">
        <f t="shared" si="6"/>
        <v>1.25</v>
      </c>
    </row>
    <row r="66" spans="2:13" ht="14.4" x14ac:dyDescent="0.3">
      <c r="B66" s="137"/>
      <c r="C66" s="41"/>
      <c r="D66" s="41">
        <v>4.8</v>
      </c>
      <c r="E66" s="513">
        <v>0.25</v>
      </c>
      <c r="F66" s="35"/>
      <c r="G66" s="38">
        <v>1</v>
      </c>
      <c r="H66" s="514">
        <f t="shared" si="3"/>
        <v>1.2</v>
      </c>
      <c r="I66" s="515"/>
      <c r="J66" s="510"/>
      <c r="K66" s="511"/>
      <c r="L66" s="146" t="s">
        <v>3</v>
      </c>
      <c r="M66" s="512">
        <f t="shared" si="6"/>
        <v>1.2</v>
      </c>
    </row>
    <row r="67" spans="2:13" ht="14.4" x14ac:dyDescent="0.3">
      <c r="B67" s="137"/>
      <c r="C67" s="41"/>
      <c r="D67" s="41">
        <v>1.8</v>
      </c>
      <c r="E67" s="513">
        <v>0.25</v>
      </c>
      <c r="F67" s="35"/>
      <c r="G67" s="38">
        <v>1</v>
      </c>
      <c r="H67" s="514">
        <f t="shared" si="3"/>
        <v>0.45</v>
      </c>
      <c r="I67" s="515"/>
      <c r="J67" s="510"/>
      <c r="K67" s="511"/>
      <c r="L67" s="146" t="s">
        <v>3</v>
      </c>
      <c r="M67" s="512">
        <f t="shared" si="6"/>
        <v>0.45</v>
      </c>
    </row>
    <row r="68" spans="2:13" ht="14.4" x14ac:dyDescent="0.3">
      <c r="B68" s="137"/>
      <c r="C68" s="41"/>
      <c r="D68" s="41">
        <v>2</v>
      </c>
      <c r="E68" s="513">
        <v>0.25</v>
      </c>
      <c r="F68" s="35"/>
      <c r="G68" s="38">
        <v>1</v>
      </c>
      <c r="H68" s="514">
        <f t="shared" si="3"/>
        <v>0.5</v>
      </c>
      <c r="I68" s="515"/>
      <c r="J68" s="510"/>
      <c r="K68" s="511"/>
      <c r="L68" s="146" t="s">
        <v>3</v>
      </c>
      <c r="M68" s="512">
        <f t="shared" si="6"/>
        <v>0.5</v>
      </c>
    </row>
    <row r="69" spans="2:13" ht="14.4" x14ac:dyDescent="0.3">
      <c r="B69" s="137"/>
      <c r="C69" s="41"/>
      <c r="D69" s="41">
        <v>3.82</v>
      </c>
      <c r="E69" s="513">
        <v>0.25</v>
      </c>
      <c r="F69" s="35"/>
      <c r="G69" s="38">
        <v>1</v>
      </c>
      <c r="H69" s="514">
        <f t="shared" si="3"/>
        <v>0.95499999999999996</v>
      </c>
      <c r="I69" s="515"/>
      <c r="J69" s="510"/>
      <c r="K69" s="511"/>
      <c r="L69" s="146" t="s">
        <v>3</v>
      </c>
      <c r="M69" s="512">
        <f t="shared" si="6"/>
        <v>0.95499999999999996</v>
      </c>
    </row>
    <row r="70" spans="2:13" ht="14.4" x14ac:dyDescent="0.3">
      <c r="B70" s="137"/>
      <c r="C70" s="41"/>
      <c r="D70" s="41">
        <v>1.98</v>
      </c>
      <c r="E70" s="513">
        <v>0.25</v>
      </c>
      <c r="F70" s="35"/>
      <c r="G70" s="38">
        <v>1</v>
      </c>
      <c r="H70" s="514">
        <f t="shared" si="3"/>
        <v>0.495</v>
      </c>
      <c r="I70" s="515"/>
      <c r="J70" s="510"/>
      <c r="K70" s="511"/>
      <c r="L70" s="146" t="s">
        <v>3</v>
      </c>
      <c r="M70" s="512">
        <f t="shared" si="6"/>
        <v>0.495</v>
      </c>
    </row>
    <row r="71" spans="2:13" ht="14.4" x14ac:dyDescent="0.3">
      <c r="B71" s="137"/>
      <c r="C71" s="41"/>
      <c r="D71" s="41">
        <v>4.17</v>
      </c>
      <c r="E71" s="513">
        <v>0.25</v>
      </c>
      <c r="F71" s="35"/>
      <c r="G71" s="38">
        <v>1</v>
      </c>
      <c r="H71" s="514">
        <f t="shared" si="3"/>
        <v>1.0425</v>
      </c>
      <c r="I71" s="515"/>
      <c r="J71" s="510"/>
      <c r="K71" s="511"/>
      <c r="L71" s="146" t="s">
        <v>3</v>
      </c>
      <c r="M71" s="512">
        <f t="shared" si="6"/>
        <v>1.0425</v>
      </c>
    </row>
    <row r="72" spans="2:13" ht="14.4" x14ac:dyDescent="0.3">
      <c r="B72" s="137"/>
      <c r="C72" s="41"/>
      <c r="D72" s="41">
        <v>4.8</v>
      </c>
      <c r="E72" s="513">
        <v>0.25</v>
      </c>
      <c r="F72" s="35"/>
      <c r="G72" s="38">
        <v>1</v>
      </c>
      <c r="H72" s="514">
        <f t="shared" si="3"/>
        <v>1.2</v>
      </c>
      <c r="I72" s="515"/>
      <c r="J72" s="510"/>
      <c r="K72" s="511"/>
      <c r="L72" s="146" t="s">
        <v>3</v>
      </c>
      <c r="M72" s="512">
        <f t="shared" si="6"/>
        <v>1.2</v>
      </c>
    </row>
    <row r="73" spans="2:13" ht="14.4" x14ac:dyDescent="0.3">
      <c r="B73" s="137"/>
      <c r="C73" s="41"/>
      <c r="D73" s="41">
        <v>4.2</v>
      </c>
      <c r="E73" s="513">
        <v>0.25</v>
      </c>
      <c r="F73" s="35"/>
      <c r="G73" s="38">
        <v>1</v>
      </c>
      <c r="H73" s="514">
        <f t="shared" si="3"/>
        <v>1.05</v>
      </c>
      <c r="I73" s="515"/>
      <c r="J73" s="510"/>
      <c r="K73" s="511"/>
      <c r="L73" s="146" t="s">
        <v>3</v>
      </c>
      <c r="M73" s="512">
        <f t="shared" si="6"/>
        <v>1.05</v>
      </c>
    </row>
    <row r="74" spans="2:13" ht="14.4" x14ac:dyDescent="0.3">
      <c r="B74" s="137"/>
      <c r="C74" s="41"/>
      <c r="D74" s="41">
        <v>2.63</v>
      </c>
      <c r="E74" s="513">
        <v>0.25</v>
      </c>
      <c r="F74" s="35"/>
      <c r="G74" s="38">
        <v>1</v>
      </c>
      <c r="H74" s="514">
        <f t="shared" si="3"/>
        <v>0.65749999999999997</v>
      </c>
      <c r="I74" s="515"/>
      <c r="J74" s="510"/>
      <c r="K74" s="511"/>
      <c r="L74" s="146" t="s">
        <v>3</v>
      </c>
      <c r="M74" s="512">
        <f t="shared" si="6"/>
        <v>0.65749999999999997</v>
      </c>
    </row>
    <row r="75" spans="2:13" ht="14.4" x14ac:dyDescent="0.3">
      <c r="B75" s="137"/>
      <c r="C75" s="41"/>
      <c r="D75" s="41">
        <v>0.26</v>
      </c>
      <c r="E75" s="513">
        <v>0.25</v>
      </c>
      <c r="F75" s="35"/>
      <c r="G75" s="38">
        <v>1</v>
      </c>
      <c r="H75" s="514">
        <f t="shared" si="3"/>
        <v>6.5000000000000002E-2</v>
      </c>
      <c r="I75" s="515"/>
      <c r="J75" s="510"/>
      <c r="K75" s="511"/>
      <c r="L75" s="146" t="s">
        <v>3</v>
      </c>
      <c r="M75" s="512">
        <f t="shared" si="6"/>
        <v>6.5000000000000002E-2</v>
      </c>
    </row>
    <row r="76" spans="2:13" ht="14.4" x14ac:dyDescent="0.3">
      <c r="B76" s="137"/>
      <c r="C76" s="41"/>
      <c r="D76" s="41">
        <v>2.75</v>
      </c>
      <c r="E76" s="513">
        <v>0.25</v>
      </c>
      <c r="F76" s="35"/>
      <c r="G76" s="38">
        <v>1</v>
      </c>
      <c r="H76" s="514">
        <f t="shared" si="3"/>
        <v>0.6875</v>
      </c>
      <c r="I76" s="515"/>
      <c r="J76" s="510"/>
      <c r="K76" s="511"/>
      <c r="L76" s="146" t="s">
        <v>3</v>
      </c>
      <c r="M76" s="512">
        <f t="shared" si="6"/>
        <v>0.6875</v>
      </c>
    </row>
    <row r="77" spans="2:13" ht="14.4" x14ac:dyDescent="0.3">
      <c r="B77" s="137"/>
      <c r="C77" s="41"/>
      <c r="D77" s="41">
        <v>3.02</v>
      </c>
      <c r="E77" s="513">
        <v>0.25</v>
      </c>
      <c r="F77" s="35"/>
      <c r="G77" s="38">
        <v>1</v>
      </c>
      <c r="H77" s="514">
        <f t="shared" si="3"/>
        <v>0.755</v>
      </c>
      <c r="I77" s="515"/>
      <c r="J77" s="510"/>
      <c r="K77" s="511"/>
      <c r="L77" s="146" t="s">
        <v>3</v>
      </c>
      <c r="M77" s="512">
        <f t="shared" si="6"/>
        <v>0.755</v>
      </c>
    </row>
    <row r="78" spans="2:13" ht="14.4" x14ac:dyDescent="0.3">
      <c r="B78" s="137"/>
      <c r="C78" s="41"/>
      <c r="D78" s="41">
        <v>2.98</v>
      </c>
      <c r="E78" s="513">
        <v>0.25</v>
      </c>
      <c r="F78" s="35"/>
      <c r="G78" s="38">
        <v>1</v>
      </c>
      <c r="H78" s="514">
        <f t="shared" si="3"/>
        <v>0.745</v>
      </c>
      <c r="I78" s="515"/>
      <c r="J78" s="510"/>
      <c r="K78" s="511"/>
      <c r="L78" s="146" t="s">
        <v>3</v>
      </c>
      <c r="M78" s="512">
        <f t="shared" si="6"/>
        <v>0.745</v>
      </c>
    </row>
    <row r="79" spans="2:13" ht="14.4" x14ac:dyDescent="0.3">
      <c r="B79" s="137"/>
      <c r="C79" s="41"/>
      <c r="D79" s="41">
        <v>1.03</v>
      </c>
      <c r="E79" s="513">
        <v>0.25</v>
      </c>
      <c r="F79" s="35"/>
      <c r="G79" s="38">
        <v>1</v>
      </c>
      <c r="H79" s="514">
        <f t="shared" si="3"/>
        <v>0.25750000000000001</v>
      </c>
      <c r="I79" s="515"/>
      <c r="J79" s="510"/>
      <c r="K79" s="511"/>
      <c r="L79" s="146" t="s">
        <v>3</v>
      </c>
      <c r="M79" s="512">
        <f t="shared" si="6"/>
        <v>0.25750000000000001</v>
      </c>
    </row>
    <row r="80" spans="2:13" ht="14.4" x14ac:dyDescent="0.3">
      <c r="B80" s="137"/>
      <c r="C80" s="41"/>
      <c r="D80" s="41">
        <v>0.17</v>
      </c>
      <c r="E80" s="513">
        <v>0.25</v>
      </c>
      <c r="F80" s="35"/>
      <c r="G80" s="38">
        <v>1</v>
      </c>
      <c r="H80" s="514">
        <f t="shared" si="3"/>
        <v>4.2500000000000003E-2</v>
      </c>
      <c r="I80" s="515"/>
      <c r="J80" s="510"/>
      <c r="K80" s="511"/>
      <c r="L80" s="146" t="s">
        <v>3</v>
      </c>
      <c r="M80" s="512">
        <f t="shared" si="6"/>
        <v>4.2500000000000003E-2</v>
      </c>
    </row>
    <row r="81" spans="2:13" ht="14.4" x14ac:dyDescent="0.3">
      <c r="B81" s="137"/>
      <c r="C81" s="41"/>
      <c r="D81" s="41">
        <v>0.92</v>
      </c>
      <c r="E81" s="513">
        <v>0.25</v>
      </c>
      <c r="F81" s="35"/>
      <c r="G81" s="38">
        <v>1</v>
      </c>
      <c r="H81" s="514">
        <f t="shared" si="3"/>
        <v>0.23</v>
      </c>
      <c r="I81" s="515"/>
      <c r="J81" s="510"/>
      <c r="K81" s="511"/>
      <c r="L81" s="146" t="s">
        <v>3</v>
      </c>
      <c r="M81" s="512">
        <f t="shared" si="6"/>
        <v>0.23</v>
      </c>
    </row>
    <row r="82" spans="2:13" ht="14.4" x14ac:dyDescent="0.3">
      <c r="B82" s="137"/>
      <c r="C82" s="41"/>
      <c r="D82" s="41">
        <v>7.84</v>
      </c>
      <c r="E82" s="513">
        <v>0.25</v>
      </c>
      <c r="F82" s="35"/>
      <c r="G82" s="38">
        <v>1</v>
      </c>
      <c r="H82" s="514">
        <f t="shared" si="3"/>
        <v>1.96</v>
      </c>
      <c r="I82" s="515"/>
      <c r="J82" s="510"/>
      <c r="K82" s="511"/>
      <c r="L82" s="146" t="s">
        <v>3</v>
      </c>
      <c r="M82" s="512">
        <f t="shared" si="6"/>
        <v>1.96</v>
      </c>
    </row>
    <row r="83" spans="2:13" ht="14.4" x14ac:dyDescent="0.3">
      <c r="B83" s="137"/>
      <c r="C83" s="41"/>
      <c r="D83" s="41">
        <v>7.8</v>
      </c>
      <c r="E83" s="513">
        <v>0.25</v>
      </c>
      <c r="F83" s="35"/>
      <c r="G83" s="38">
        <v>1</v>
      </c>
      <c r="H83" s="514">
        <f t="shared" si="3"/>
        <v>1.95</v>
      </c>
      <c r="I83" s="515"/>
      <c r="J83" s="510"/>
      <c r="K83" s="511"/>
      <c r="L83" s="146" t="s">
        <v>3</v>
      </c>
      <c r="M83" s="512">
        <f t="shared" si="6"/>
        <v>1.95</v>
      </c>
    </row>
    <row r="84" spans="2:13" ht="14.4" x14ac:dyDescent="0.3">
      <c r="B84" s="137"/>
      <c r="C84" s="41"/>
      <c r="D84" s="41">
        <v>7.2</v>
      </c>
      <c r="E84" s="513">
        <v>0.25</v>
      </c>
      <c r="F84" s="35"/>
      <c r="G84" s="38">
        <v>1</v>
      </c>
      <c r="H84" s="514">
        <f t="shared" si="3"/>
        <v>1.8</v>
      </c>
      <c r="I84" s="515"/>
      <c r="J84" s="510"/>
      <c r="K84" s="511"/>
      <c r="L84" s="146" t="s">
        <v>3</v>
      </c>
      <c r="M84" s="512">
        <f t="shared" si="6"/>
        <v>1.8</v>
      </c>
    </row>
    <row r="85" spans="2:13" ht="14.4" x14ac:dyDescent="0.3">
      <c r="B85" s="137"/>
      <c r="C85" s="41"/>
      <c r="D85" s="41">
        <v>2.73</v>
      </c>
      <c r="E85" s="513">
        <v>0.25</v>
      </c>
      <c r="F85" s="35"/>
      <c r="G85" s="38">
        <v>1</v>
      </c>
      <c r="H85" s="514">
        <f t="shared" si="3"/>
        <v>0.6825</v>
      </c>
      <c r="I85" s="515"/>
      <c r="J85" s="510"/>
      <c r="K85" s="511"/>
      <c r="L85" s="146" t="s">
        <v>3</v>
      </c>
      <c r="M85" s="512">
        <f t="shared" si="6"/>
        <v>0.6825</v>
      </c>
    </row>
    <row r="86" spans="2:13" ht="14.4" x14ac:dyDescent="0.3">
      <c r="B86" s="137"/>
      <c r="C86" s="41"/>
      <c r="D86" s="41">
        <v>0.73</v>
      </c>
      <c r="E86" s="513">
        <v>0.25</v>
      </c>
      <c r="F86" s="35"/>
      <c r="G86" s="38">
        <v>1</v>
      </c>
      <c r="H86" s="514">
        <f t="shared" si="3"/>
        <v>0.1825</v>
      </c>
      <c r="I86" s="515"/>
      <c r="J86" s="510"/>
      <c r="K86" s="511"/>
      <c r="L86" s="146" t="s">
        <v>3</v>
      </c>
      <c r="M86" s="512">
        <f t="shared" si="6"/>
        <v>0.1825</v>
      </c>
    </row>
    <row r="87" spans="2:13" ht="14.4" x14ac:dyDescent="0.3">
      <c r="B87" s="137"/>
      <c r="C87" s="41"/>
      <c r="D87" s="41">
        <v>2.0699999999999998</v>
      </c>
      <c r="E87" s="513">
        <v>0.25</v>
      </c>
      <c r="F87" s="35"/>
      <c r="G87" s="38">
        <v>1</v>
      </c>
      <c r="H87" s="514">
        <f t="shared" si="3"/>
        <v>0.51749999999999996</v>
      </c>
      <c r="I87" s="515"/>
      <c r="J87" s="510"/>
      <c r="K87" s="511"/>
      <c r="L87" s="146" t="s">
        <v>3</v>
      </c>
      <c r="M87" s="512">
        <f t="shared" si="6"/>
        <v>0.51749999999999996</v>
      </c>
    </row>
    <row r="88" spans="2:13" ht="14.4" x14ac:dyDescent="0.3">
      <c r="B88" s="137"/>
      <c r="C88" s="41"/>
      <c r="D88" s="41">
        <v>2.13</v>
      </c>
      <c r="E88" s="513">
        <v>0.25</v>
      </c>
      <c r="F88" s="35"/>
      <c r="G88" s="38">
        <v>1</v>
      </c>
      <c r="H88" s="514">
        <f t="shared" si="3"/>
        <v>0.53249999999999997</v>
      </c>
      <c r="I88" s="515"/>
      <c r="J88" s="510"/>
      <c r="K88" s="511"/>
      <c r="L88" s="146" t="s">
        <v>3</v>
      </c>
      <c r="M88" s="512">
        <f t="shared" si="6"/>
        <v>0.53249999999999997</v>
      </c>
    </row>
    <row r="89" spans="2:13" ht="14.4" x14ac:dyDescent="0.3">
      <c r="B89" s="137"/>
      <c r="C89" s="41"/>
      <c r="D89" s="41">
        <v>1.84</v>
      </c>
      <c r="E89" s="513">
        <v>0.25</v>
      </c>
      <c r="F89" s="35"/>
      <c r="G89" s="38">
        <v>1</v>
      </c>
      <c r="H89" s="514">
        <f t="shared" si="3"/>
        <v>0.46</v>
      </c>
      <c r="I89" s="515"/>
      <c r="J89" s="510"/>
      <c r="K89" s="511"/>
      <c r="L89" s="146" t="s">
        <v>3</v>
      </c>
      <c r="M89" s="512">
        <f t="shared" si="6"/>
        <v>0.46</v>
      </c>
    </row>
    <row r="90" spans="2:13" ht="14.4" x14ac:dyDescent="0.3">
      <c r="B90" s="137"/>
      <c r="C90" s="41"/>
      <c r="D90" s="41">
        <v>0.6</v>
      </c>
      <c r="E90" s="513">
        <v>0.25</v>
      </c>
      <c r="F90" s="35"/>
      <c r="G90" s="38">
        <v>1</v>
      </c>
      <c r="H90" s="514">
        <f t="shared" si="3"/>
        <v>0.15</v>
      </c>
      <c r="I90" s="515"/>
      <c r="J90" s="510"/>
      <c r="K90" s="511"/>
      <c r="L90" s="146" t="s">
        <v>3</v>
      </c>
      <c r="M90" s="512">
        <f t="shared" si="6"/>
        <v>0.15</v>
      </c>
    </row>
    <row r="91" spans="2:13" ht="14.4" x14ac:dyDescent="0.3">
      <c r="B91" s="137"/>
      <c r="C91" s="41"/>
      <c r="D91" s="41">
        <v>0.71</v>
      </c>
      <c r="E91" s="513">
        <v>0.25</v>
      </c>
      <c r="F91" s="35"/>
      <c r="G91" s="38">
        <v>1</v>
      </c>
      <c r="H91" s="514">
        <f t="shared" si="3"/>
        <v>0.17749999999999999</v>
      </c>
      <c r="I91" s="515"/>
      <c r="J91" s="510"/>
      <c r="K91" s="511"/>
      <c r="L91" s="146" t="s">
        <v>3</v>
      </c>
      <c r="M91" s="512">
        <f t="shared" si="6"/>
        <v>0.17749999999999999</v>
      </c>
    </row>
    <row r="92" spans="2:13" ht="15" thickBot="1" x14ac:dyDescent="0.35">
      <c r="B92" s="161"/>
      <c r="C92" s="63"/>
      <c r="D92" s="63">
        <v>2</v>
      </c>
      <c r="E92" s="518">
        <v>0.25</v>
      </c>
      <c r="F92" s="146"/>
      <c r="G92" s="60">
        <v>1</v>
      </c>
      <c r="H92" s="249">
        <f t="shared" ref="H92" si="7">G92*E92*D92</f>
        <v>0.5</v>
      </c>
      <c r="I92" s="519"/>
      <c r="J92" s="520"/>
      <c r="K92" s="511"/>
      <c r="L92" s="146" t="s">
        <v>3</v>
      </c>
      <c r="M92" s="512">
        <f t="shared" si="6"/>
        <v>0.5</v>
      </c>
    </row>
    <row r="93" spans="2:13" ht="15" thickBot="1" x14ac:dyDescent="0.35">
      <c r="B93" s="547" t="s">
        <v>468</v>
      </c>
      <c r="C93" s="548"/>
      <c r="D93" s="548"/>
      <c r="E93" s="549"/>
      <c r="F93" s="548"/>
      <c r="G93" s="550"/>
      <c r="H93" s="551"/>
      <c r="I93" s="548"/>
      <c r="J93" s="548"/>
      <c r="K93" s="551"/>
      <c r="L93" s="545" t="s">
        <v>3</v>
      </c>
      <c r="M93" s="546">
        <f>SUM(M42:M92)</f>
        <v>54.91249999999998</v>
      </c>
    </row>
    <row r="94" spans="2:13" ht="14.4" x14ac:dyDescent="0.3">
      <c r="B94" s="537" t="s">
        <v>469</v>
      </c>
      <c r="C94" s="41"/>
      <c r="D94" s="41">
        <v>1.7</v>
      </c>
      <c r="E94" s="513">
        <v>0.42</v>
      </c>
      <c r="F94" s="41"/>
      <c r="G94" s="38">
        <v>8</v>
      </c>
      <c r="H94" s="249">
        <f t="shared" ref="H94:H97" si="8">G94*E94*D94</f>
        <v>5.7119999999999997</v>
      </c>
      <c r="I94" s="519"/>
      <c r="J94" s="520"/>
      <c r="K94" s="511"/>
      <c r="L94" s="146" t="s">
        <v>3</v>
      </c>
      <c r="M94" s="512">
        <f t="shared" ref="M94:M97" si="9">H94</f>
        <v>5.7119999999999997</v>
      </c>
    </row>
    <row r="95" spans="2:13" ht="14.4" x14ac:dyDescent="0.3">
      <c r="B95" s="137"/>
      <c r="C95" s="41"/>
      <c r="D95" s="41">
        <v>1.35</v>
      </c>
      <c r="E95" s="513">
        <v>0.42</v>
      </c>
      <c r="F95" s="35"/>
      <c r="G95" s="38">
        <v>4</v>
      </c>
      <c r="H95" s="270">
        <f t="shared" si="8"/>
        <v>2.2680000000000002</v>
      </c>
      <c r="I95" s="510"/>
      <c r="J95" s="510"/>
      <c r="K95" s="511"/>
      <c r="L95" s="146" t="s">
        <v>3</v>
      </c>
      <c r="M95" s="512">
        <f t="shared" si="9"/>
        <v>2.2680000000000002</v>
      </c>
    </row>
    <row r="96" spans="2:13" ht="14.4" x14ac:dyDescent="0.3">
      <c r="B96" s="137"/>
      <c r="C96" s="41"/>
      <c r="D96" s="41">
        <v>0.78</v>
      </c>
      <c r="E96" s="513">
        <v>0.25</v>
      </c>
      <c r="F96" s="35"/>
      <c r="G96" s="38">
        <v>4</v>
      </c>
      <c r="H96" s="514">
        <f t="shared" si="8"/>
        <v>0.78</v>
      </c>
      <c r="I96" s="515"/>
      <c r="J96" s="510"/>
      <c r="K96" s="511"/>
      <c r="L96" s="146" t="s">
        <v>3</v>
      </c>
      <c r="M96" s="512">
        <f t="shared" si="9"/>
        <v>0.78</v>
      </c>
    </row>
    <row r="97" spans="2:13" ht="14.4" x14ac:dyDescent="0.3">
      <c r="B97" s="137"/>
      <c r="C97" s="41"/>
      <c r="D97" s="41">
        <v>3.6</v>
      </c>
      <c r="E97" s="513">
        <v>0.25</v>
      </c>
      <c r="F97" s="35"/>
      <c r="G97" s="38">
        <v>1</v>
      </c>
      <c r="H97" s="514">
        <f t="shared" si="8"/>
        <v>0.9</v>
      </c>
      <c r="I97" s="515"/>
      <c r="J97" s="510"/>
      <c r="K97" s="511"/>
      <c r="L97" s="146" t="s">
        <v>3</v>
      </c>
      <c r="M97" s="512">
        <f t="shared" si="9"/>
        <v>0.9</v>
      </c>
    </row>
    <row r="98" spans="2:13" ht="14.4" x14ac:dyDescent="0.3">
      <c r="B98" s="137"/>
      <c r="C98" s="41"/>
      <c r="D98" s="41">
        <v>1.8</v>
      </c>
      <c r="E98" s="513">
        <v>0.25</v>
      </c>
      <c r="F98" s="35"/>
      <c r="G98" s="38">
        <v>1</v>
      </c>
      <c r="H98" s="514">
        <f t="shared" ref="H98:H107" si="10">G98*E98*D98</f>
        <v>0.45</v>
      </c>
      <c r="I98" s="515"/>
      <c r="J98" s="510"/>
      <c r="K98" s="511"/>
      <c r="L98" s="146" t="s">
        <v>3</v>
      </c>
      <c r="M98" s="512">
        <f t="shared" ref="M98:M107" si="11">H98</f>
        <v>0.45</v>
      </c>
    </row>
    <row r="99" spans="2:13" ht="14.4" x14ac:dyDescent="0.3">
      <c r="B99" s="137"/>
      <c r="C99" s="41"/>
      <c r="D99" s="41">
        <v>1.6</v>
      </c>
      <c r="E99" s="513">
        <v>0.42</v>
      </c>
      <c r="F99" s="35"/>
      <c r="G99" s="38">
        <v>40</v>
      </c>
      <c r="H99" s="514">
        <f t="shared" si="10"/>
        <v>26.880000000000003</v>
      </c>
      <c r="I99" s="515"/>
      <c r="J99" s="510"/>
      <c r="K99" s="511"/>
      <c r="L99" s="146" t="s">
        <v>3</v>
      </c>
      <c r="M99" s="512">
        <f t="shared" si="11"/>
        <v>26.880000000000003</v>
      </c>
    </row>
    <row r="100" spans="2:13" ht="14.4" x14ac:dyDescent="0.3">
      <c r="B100" s="137"/>
      <c r="C100" s="41"/>
      <c r="D100" s="41">
        <v>1.2</v>
      </c>
      <c r="E100" s="513">
        <v>0.42</v>
      </c>
      <c r="F100" s="35"/>
      <c r="G100" s="38">
        <v>20</v>
      </c>
      <c r="H100" s="514">
        <f t="shared" si="10"/>
        <v>10.08</v>
      </c>
      <c r="I100" s="515"/>
      <c r="J100" s="510"/>
      <c r="K100" s="511"/>
      <c r="L100" s="146" t="s">
        <v>3</v>
      </c>
      <c r="M100" s="512">
        <f t="shared" si="11"/>
        <v>10.08</v>
      </c>
    </row>
    <row r="101" spans="2:13" ht="14.4" x14ac:dyDescent="0.3">
      <c r="B101" s="137"/>
      <c r="C101" s="41"/>
      <c r="D101" s="41">
        <v>1.2</v>
      </c>
      <c r="E101" s="513">
        <v>0.25</v>
      </c>
      <c r="F101" s="35"/>
      <c r="G101" s="38">
        <v>8</v>
      </c>
      <c r="H101" s="514">
        <f t="shared" si="10"/>
        <v>2.4</v>
      </c>
      <c r="I101" s="515"/>
      <c r="J101" s="510"/>
      <c r="K101" s="511"/>
      <c r="L101" s="146" t="s">
        <v>3</v>
      </c>
      <c r="M101" s="512">
        <f t="shared" si="11"/>
        <v>2.4</v>
      </c>
    </row>
    <row r="102" spans="2:13" ht="14.4" x14ac:dyDescent="0.3">
      <c r="B102" s="137"/>
      <c r="C102" s="41"/>
      <c r="D102" s="41">
        <v>0.8</v>
      </c>
      <c r="E102" s="513">
        <v>0.25</v>
      </c>
      <c r="F102" s="35"/>
      <c r="G102" s="38">
        <v>2</v>
      </c>
      <c r="H102" s="514">
        <f t="shared" si="10"/>
        <v>0.4</v>
      </c>
      <c r="I102" s="515"/>
      <c r="J102" s="510"/>
      <c r="K102" s="511"/>
      <c r="L102" s="146" t="s">
        <v>3</v>
      </c>
      <c r="M102" s="512">
        <f t="shared" si="11"/>
        <v>0.4</v>
      </c>
    </row>
    <row r="103" spans="2:13" ht="14.4" x14ac:dyDescent="0.3">
      <c r="B103" s="137"/>
      <c r="C103" s="41"/>
      <c r="D103" s="41">
        <v>3</v>
      </c>
      <c r="E103" s="513">
        <v>0.25</v>
      </c>
      <c r="F103" s="35"/>
      <c r="G103" s="38">
        <v>1</v>
      </c>
      <c r="H103" s="514">
        <f t="shared" si="10"/>
        <v>0.75</v>
      </c>
      <c r="I103" s="515"/>
      <c r="J103" s="510"/>
      <c r="K103" s="511"/>
      <c r="L103" s="146" t="s">
        <v>3</v>
      </c>
      <c r="M103" s="512">
        <f t="shared" si="11"/>
        <v>0.75</v>
      </c>
    </row>
    <row r="104" spans="2:13" ht="14.4" x14ac:dyDescent="0.3">
      <c r="B104" s="137"/>
      <c r="C104" s="41"/>
      <c r="D104" s="41">
        <v>2.4</v>
      </c>
      <c r="E104" s="513">
        <v>0.25</v>
      </c>
      <c r="F104" s="35"/>
      <c r="G104" s="38">
        <v>1</v>
      </c>
      <c r="H104" s="514">
        <f t="shared" si="10"/>
        <v>0.6</v>
      </c>
      <c r="I104" s="515"/>
      <c r="J104" s="510"/>
      <c r="K104" s="511"/>
      <c r="L104" s="146" t="s">
        <v>3</v>
      </c>
      <c r="M104" s="512">
        <f t="shared" si="11"/>
        <v>0.6</v>
      </c>
    </row>
    <row r="105" spans="2:13" ht="15" thickBot="1" x14ac:dyDescent="0.35">
      <c r="B105" s="161"/>
      <c r="C105" s="63"/>
      <c r="D105" s="63">
        <f>2*3.14*0.85</f>
        <v>5.3380000000000001</v>
      </c>
      <c r="E105" s="518">
        <v>0.25</v>
      </c>
      <c r="F105" s="146"/>
      <c r="G105" s="60">
        <v>4</v>
      </c>
      <c r="H105" s="249">
        <f t="shared" si="10"/>
        <v>5.3380000000000001</v>
      </c>
      <c r="I105" s="519"/>
      <c r="J105" s="520"/>
      <c r="K105" s="511"/>
      <c r="L105" s="146" t="s">
        <v>3</v>
      </c>
      <c r="M105" s="512">
        <f t="shared" si="11"/>
        <v>5.3380000000000001</v>
      </c>
    </row>
    <row r="106" spans="2:13" ht="15" thickBot="1" x14ac:dyDescent="0.35">
      <c r="B106" s="547" t="s">
        <v>470</v>
      </c>
      <c r="C106" s="545"/>
      <c r="D106" s="545"/>
      <c r="E106" s="552"/>
      <c r="F106" s="545"/>
      <c r="G106" s="553"/>
      <c r="H106" s="554"/>
      <c r="I106" s="545"/>
      <c r="J106" s="545"/>
      <c r="K106" s="554"/>
      <c r="L106" s="545" t="s">
        <v>3</v>
      </c>
      <c r="M106" s="546">
        <f>SUM(M94:M105)</f>
        <v>56.558</v>
      </c>
    </row>
    <row r="107" spans="2:13" ht="14.4" x14ac:dyDescent="0.3">
      <c r="B107" s="137" t="s">
        <v>471</v>
      </c>
      <c r="C107" s="41"/>
      <c r="D107" s="41">
        <v>1.6</v>
      </c>
      <c r="E107" s="513">
        <v>0.3</v>
      </c>
      <c r="F107" s="41"/>
      <c r="G107" s="38">
        <v>16</v>
      </c>
      <c r="H107" s="514">
        <f t="shared" si="10"/>
        <v>7.68</v>
      </c>
      <c r="I107" s="515"/>
      <c r="J107" s="515"/>
      <c r="K107" s="249"/>
      <c r="L107" s="145" t="s">
        <v>3</v>
      </c>
      <c r="M107" s="555">
        <f t="shared" si="11"/>
        <v>7.68</v>
      </c>
    </row>
    <row r="108" spans="2:13" ht="14.4" x14ac:dyDescent="0.3">
      <c r="B108" s="137"/>
      <c r="C108" s="41"/>
      <c r="D108" s="41"/>
      <c r="E108" s="513"/>
      <c r="F108" s="35"/>
      <c r="G108" s="38"/>
      <c r="H108" s="514"/>
      <c r="I108" s="515"/>
      <c r="J108" s="510"/>
      <c r="K108" s="511"/>
      <c r="L108" s="146"/>
      <c r="M108" s="512"/>
    </row>
    <row r="109" spans="2:13" ht="14.4" x14ac:dyDescent="0.3">
      <c r="B109" s="137" t="s">
        <v>472</v>
      </c>
      <c r="C109" s="41"/>
      <c r="D109" s="41"/>
      <c r="E109" s="513"/>
      <c r="F109" s="35"/>
      <c r="G109" s="38">
        <v>6</v>
      </c>
      <c r="H109" s="514">
        <v>1.42</v>
      </c>
      <c r="I109" s="515"/>
      <c r="J109" s="510"/>
      <c r="K109" s="270"/>
      <c r="L109" s="239" t="s">
        <v>3</v>
      </c>
      <c r="M109" s="556">
        <f>H109*G109</f>
        <v>8.52</v>
      </c>
    </row>
    <row r="110" spans="2:13" ht="14.4" x14ac:dyDescent="0.3">
      <c r="B110" s="137"/>
      <c r="C110" s="41"/>
      <c r="D110" s="41"/>
      <c r="E110" s="513"/>
      <c r="F110" s="35"/>
      <c r="G110" s="38"/>
      <c r="H110" s="514"/>
      <c r="I110" s="515"/>
      <c r="J110" s="510"/>
      <c r="K110" s="514"/>
      <c r="L110" s="515"/>
      <c r="M110" s="510"/>
    </row>
    <row r="111" spans="2:13" ht="14.4" x14ac:dyDescent="0.3">
      <c r="B111" s="7" t="s">
        <v>547</v>
      </c>
      <c r="C111" s="35"/>
      <c r="D111" s="35">
        <f>1.82+6.05+40.01+5.01+11.71+11.71+14.48+14.48+5.15+14.35+15.05+5.49+2.81+14.35</f>
        <v>162.47000000000003</v>
      </c>
      <c r="E111" s="509"/>
      <c r="F111" s="35"/>
      <c r="G111" s="32">
        <v>1</v>
      </c>
      <c r="H111" s="253"/>
      <c r="I111" s="510"/>
      <c r="J111" s="510"/>
      <c r="K111" s="253"/>
      <c r="L111" s="510" t="s">
        <v>46</v>
      </c>
      <c r="M111" s="510">
        <f>G111*D111</f>
        <v>162.47000000000003</v>
      </c>
    </row>
    <row r="112" spans="2:13" ht="14.4" x14ac:dyDescent="0.3">
      <c r="B112" s="7"/>
      <c r="C112" s="35"/>
      <c r="D112" s="35"/>
      <c r="E112" s="509"/>
      <c r="F112" s="35"/>
      <c r="G112" s="32"/>
      <c r="H112" s="253"/>
      <c r="I112" s="510"/>
      <c r="J112" s="510"/>
      <c r="K112" s="253"/>
      <c r="L112" s="510"/>
      <c r="M112" s="510"/>
    </row>
    <row r="113" spans="2:13" ht="14.4" x14ac:dyDescent="0.3">
      <c r="B113" s="235" t="s">
        <v>548</v>
      </c>
      <c r="C113" s="35"/>
      <c r="D113" s="35">
        <f>5.35</f>
        <v>5.35</v>
      </c>
      <c r="E113" s="509"/>
      <c r="F113" s="35"/>
      <c r="G113" s="32">
        <v>5</v>
      </c>
      <c r="H113" s="253"/>
      <c r="I113" s="510"/>
      <c r="J113" s="510"/>
      <c r="K113" s="253"/>
      <c r="L113" s="510" t="s">
        <v>46</v>
      </c>
      <c r="M113" s="510">
        <f t="shared" ref="M113:M114" si="12">G113*D113</f>
        <v>26.75</v>
      </c>
    </row>
    <row r="114" spans="2:13" ht="14.4" x14ac:dyDescent="0.3">
      <c r="B114" s="7"/>
      <c r="C114" s="35"/>
      <c r="D114" s="35">
        <v>5.6</v>
      </c>
      <c r="E114" s="509"/>
      <c r="F114" s="35"/>
      <c r="G114" s="32">
        <v>1</v>
      </c>
      <c r="H114" s="253"/>
      <c r="I114" s="510"/>
      <c r="J114" s="510"/>
      <c r="K114" s="253"/>
      <c r="L114" s="510" t="s">
        <v>46</v>
      </c>
      <c r="M114" s="510">
        <f t="shared" si="12"/>
        <v>5.6</v>
      </c>
    </row>
    <row r="115" spans="2:13" ht="14.4" x14ac:dyDescent="0.3">
      <c r="B115" s="7" t="s">
        <v>549</v>
      </c>
      <c r="C115" s="35"/>
      <c r="D115" s="35"/>
      <c r="E115" s="509"/>
      <c r="F115" s="35"/>
      <c r="G115" s="32"/>
      <c r="H115" s="253"/>
      <c r="I115" s="510"/>
      <c r="J115" s="510"/>
      <c r="K115" s="253"/>
      <c r="L115" s="566" t="s">
        <v>46</v>
      </c>
      <c r="M115" s="566">
        <f>SUM(M113:M114)</f>
        <v>32.35</v>
      </c>
    </row>
    <row r="116" spans="2:13" ht="14.4" x14ac:dyDescent="0.3">
      <c r="B116" s="7" t="s">
        <v>550</v>
      </c>
      <c r="C116" s="35"/>
      <c r="D116" s="35">
        <f>M115</f>
        <v>32.35</v>
      </c>
      <c r="E116" s="509"/>
      <c r="F116" s="35">
        <v>0.4</v>
      </c>
      <c r="G116" s="32">
        <v>1</v>
      </c>
      <c r="H116" s="253">
        <f>G116*F116*D116</f>
        <v>12.940000000000001</v>
      </c>
      <c r="I116" s="510"/>
      <c r="J116" s="510"/>
      <c r="K116" s="253"/>
      <c r="L116" s="566" t="s">
        <v>3</v>
      </c>
      <c r="M116" s="566">
        <f>H116</f>
        <v>12.940000000000001</v>
      </c>
    </row>
    <row r="117" spans="2:13" ht="14.4" x14ac:dyDescent="0.3">
      <c r="B117" s="7" t="s">
        <v>551</v>
      </c>
      <c r="C117" s="35"/>
      <c r="D117" s="35">
        <v>32.35</v>
      </c>
      <c r="E117" s="509">
        <v>0.5</v>
      </c>
      <c r="F117" s="35"/>
      <c r="G117" s="32">
        <v>1</v>
      </c>
      <c r="H117" s="514">
        <f t="shared" ref="H117:H119" si="13">G117*E117*D117</f>
        <v>16.175000000000001</v>
      </c>
      <c r="I117" s="515"/>
      <c r="J117" s="515"/>
      <c r="K117" s="249"/>
      <c r="L117" s="239" t="s">
        <v>3</v>
      </c>
      <c r="M117" s="563">
        <f t="shared" ref="M117" si="14">H117</f>
        <v>16.175000000000001</v>
      </c>
    </row>
    <row r="118" spans="2:13" ht="14.4" x14ac:dyDescent="0.3">
      <c r="B118" s="7" t="s">
        <v>506</v>
      </c>
      <c r="C118" s="35"/>
      <c r="D118" s="35">
        <v>32.35</v>
      </c>
      <c r="E118" s="509">
        <v>0.5</v>
      </c>
      <c r="F118" s="35"/>
      <c r="G118" s="32">
        <v>1</v>
      </c>
      <c r="H118" s="514">
        <f t="shared" si="13"/>
        <v>16.175000000000001</v>
      </c>
      <c r="I118" s="510"/>
      <c r="J118" s="510"/>
      <c r="K118" s="253"/>
      <c r="L118" s="35" t="s">
        <v>3</v>
      </c>
      <c r="M118" s="561">
        <f t="shared" ref="M118:M119" si="15">H118</f>
        <v>16.175000000000001</v>
      </c>
    </row>
    <row r="119" spans="2:13" ht="14.4" x14ac:dyDescent="0.3">
      <c r="B119" s="7"/>
      <c r="C119" s="35"/>
      <c r="D119" s="35">
        <v>32.35</v>
      </c>
      <c r="E119" s="509">
        <v>0.4</v>
      </c>
      <c r="F119" s="35"/>
      <c r="G119" s="32">
        <v>2</v>
      </c>
      <c r="H119" s="514">
        <f t="shared" si="13"/>
        <v>25.880000000000003</v>
      </c>
      <c r="I119" s="510"/>
      <c r="J119" s="510"/>
      <c r="K119" s="253"/>
      <c r="L119" s="63" t="s">
        <v>3</v>
      </c>
      <c r="M119" s="521">
        <f t="shared" si="15"/>
        <v>25.880000000000003</v>
      </c>
    </row>
    <row r="120" spans="2:13" ht="14.4" x14ac:dyDescent="0.3">
      <c r="B120" s="7" t="s">
        <v>552</v>
      </c>
      <c r="C120" s="35"/>
      <c r="D120" s="35"/>
      <c r="E120" s="509"/>
      <c r="F120" s="35"/>
      <c r="G120" s="32"/>
      <c r="H120" s="514"/>
      <c r="I120" s="510"/>
      <c r="J120" s="510"/>
      <c r="K120" s="253"/>
      <c r="L120" s="566" t="s">
        <v>3</v>
      </c>
      <c r="M120" s="566">
        <f>SUM(M118:M119)</f>
        <v>42.055000000000007</v>
      </c>
    </row>
    <row r="121" spans="2:13" ht="14.4" x14ac:dyDescent="0.3">
      <c r="B121" s="7" t="s">
        <v>507</v>
      </c>
      <c r="C121" s="35"/>
      <c r="D121" s="35">
        <v>32.35</v>
      </c>
      <c r="E121" s="509">
        <v>0.5</v>
      </c>
      <c r="F121" s="35"/>
      <c r="G121" s="32">
        <v>1</v>
      </c>
      <c r="H121" s="514">
        <f t="shared" ref="H121:H122" si="16">G121*E121*D121</f>
        <v>16.175000000000001</v>
      </c>
      <c r="I121" s="510"/>
      <c r="J121" s="510"/>
      <c r="K121" s="253"/>
      <c r="L121" s="35" t="s">
        <v>3</v>
      </c>
      <c r="M121" s="561">
        <f t="shared" ref="M121:M122" si="17">H121</f>
        <v>16.175000000000001</v>
      </c>
    </row>
    <row r="122" spans="2:13" ht="14.4" x14ac:dyDescent="0.3">
      <c r="B122" s="7"/>
      <c r="C122" s="35"/>
      <c r="D122" s="35">
        <v>32.35</v>
      </c>
      <c r="E122" s="509">
        <v>0.4</v>
      </c>
      <c r="F122" s="35"/>
      <c r="G122" s="32">
        <v>2</v>
      </c>
      <c r="H122" s="514">
        <f t="shared" si="16"/>
        <v>25.880000000000003</v>
      </c>
      <c r="I122" s="510"/>
      <c r="J122" s="510"/>
      <c r="K122" s="253"/>
      <c r="L122" s="63" t="s">
        <v>3</v>
      </c>
      <c r="M122" s="521">
        <f t="shared" si="17"/>
        <v>25.880000000000003</v>
      </c>
    </row>
    <row r="123" spans="2:13" ht="14.4" x14ac:dyDescent="0.3">
      <c r="B123" s="7" t="s">
        <v>553</v>
      </c>
      <c r="C123" s="35"/>
      <c r="D123" s="35"/>
      <c r="E123" s="509"/>
      <c r="F123" s="35"/>
      <c r="G123" s="32"/>
      <c r="H123" s="514"/>
      <c r="I123" s="510"/>
      <c r="J123" s="510"/>
      <c r="K123" s="253"/>
      <c r="L123" s="566" t="s">
        <v>3</v>
      </c>
      <c r="M123" s="566">
        <f>SUM(M121:M122)</f>
        <v>42.055000000000007</v>
      </c>
    </row>
    <row r="124" spans="2:13" ht="14.4" x14ac:dyDescent="0.3">
      <c r="B124" s="7"/>
      <c r="C124" s="35"/>
      <c r="D124" s="35"/>
      <c r="E124" s="509"/>
      <c r="F124" s="35"/>
      <c r="G124" s="32"/>
      <c r="H124" s="253"/>
      <c r="I124" s="510"/>
      <c r="J124" s="510"/>
      <c r="K124" s="253"/>
      <c r="L124" s="510"/>
      <c r="M124" s="510"/>
    </row>
    <row r="125" spans="2:13" ht="28.8" x14ac:dyDescent="0.3">
      <c r="B125" s="281" t="s">
        <v>554</v>
      </c>
      <c r="C125" s="35"/>
      <c r="D125" s="35">
        <v>32.35</v>
      </c>
      <c r="E125" s="509">
        <v>0.5</v>
      </c>
      <c r="F125" s="35"/>
      <c r="G125" s="32">
        <v>1</v>
      </c>
      <c r="H125" s="514">
        <f t="shared" ref="H125:H126" si="18">G125*E125*D125</f>
        <v>16.175000000000001</v>
      </c>
      <c r="I125" s="510"/>
      <c r="J125" s="510"/>
      <c r="K125" s="253"/>
      <c r="L125" s="35" t="s">
        <v>3</v>
      </c>
      <c r="M125" s="561">
        <f t="shared" ref="M125:M126" si="19">H125</f>
        <v>16.175000000000001</v>
      </c>
    </row>
    <row r="126" spans="2:13" ht="14.4" x14ac:dyDescent="0.3">
      <c r="B126" s="7"/>
      <c r="C126" s="35"/>
      <c r="D126" s="35">
        <v>32.35</v>
      </c>
      <c r="E126" s="509">
        <v>0.4</v>
      </c>
      <c r="F126" s="35"/>
      <c r="G126" s="32">
        <v>2</v>
      </c>
      <c r="H126" s="514">
        <f t="shared" si="18"/>
        <v>25.880000000000003</v>
      </c>
      <c r="I126" s="510"/>
      <c r="J126" s="510"/>
      <c r="K126" s="253"/>
      <c r="L126" s="63" t="s">
        <v>3</v>
      </c>
      <c r="M126" s="521">
        <f t="shared" si="19"/>
        <v>25.880000000000003</v>
      </c>
    </row>
    <row r="127" spans="2:13" ht="14.4" x14ac:dyDescent="0.3">
      <c r="B127" s="7" t="s">
        <v>555</v>
      </c>
      <c r="C127" s="35"/>
      <c r="D127" s="35"/>
      <c r="E127" s="509"/>
      <c r="F127" s="35"/>
      <c r="G127" s="32"/>
      <c r="H127" s="514"/>
      <c r="I127" s="510"/>
      <c r="J127" s="510"/>
      <c r="K127" s="253"/>
      <c r="L127" s="566" t="s">
        <v>3</v>
      </c>
      <c r="M127" s="566">
        <f>SUM(M125:M126)</f>
        <v>42.055000000000007</v>
      </c>
    </row>
    <row r="128" spans="2:13" ht="14.4" x14ac:dyDescent="0.3">
      <c r="B128" s="7"/>
      <c r="C128" s="35"/>
      <c r="D128" s="35"/>
      <c r="E128" s="509"/>
      <c r="F128" s="35"/>
      <c r="G128" s="32"/>
      <c r="H128" s="253"/>
      <c r="I128" s="510"/>
      <c r="J128" s="510"/>
      <c r="K128" s="253"/>
      <c r="L128" s="566"/>
      <c r="M128" s="566"/>
    </row>
    <row r="129" spans="2:13" ht="14.4" x14ac:dyDescent="0.3">
      <c r="B129" s="7" t="s">
        <v>556</v>
      </c>
      <c r="C129" s="35"/>
      <c r="D129" s="35">
        <v>69.5</v>
      </c>
      <c r="E129" s="509"/>
      <c r="F129" s="35">
        <v>0.05</v>
      </c>
      <c r="G129" s="32">
        <v>1</v>
      </c>
      <c r="H129" s="253">
        <f>G129*F129*D129</f>
        <v>3.4750000000000001</v>
      </c>
      <c r="I129" s="510"/>
      <c r="J129" s="510"/>
      <c r="K129" s="253"/>
      <c r="L129" s="566" t="s">
        <v>3</v>
      </c>
      <c r="M129" s="566">
        <f>H129</f>
        <v>3.4750000000000001</v>
      </c>
    </row>
    <row r="130" spans="2:13" ht="14.4" x14ac:dyDescent="0.3">
      <c r="B130" s="7"/>
      <c r="C130" s="35"/>
      <c r="D130" s="35"/>
      <c r="E130" s="509"/>
      <c r="F130" s="35"/>
      <c r="G130" s="32"/>
      <c r="H130" s="253"/>
      <c r="I130" s="510"/>
      <c r="J130" s="510"/>
      <c r="K130" s="253"/>
      <c r="L130" s="566"/>
      <c r="M130" s="566"/>
    </row>
    <row r="131" spans="2:13" ht="14.4" x14ac:dyDescent="0.3">
      <c r="B131" s="7" t="s">
        <v>557</v>
      </c>
      <c r="C131" s="35"/>
      <c r="D131" s="35">
        <v>69.5</v>
      </c>
      <c r="E131" s="509"/>
      <c r="F131" s="35"/>
      <c r="G131" s="32">
        <v>1</v>
      </c>
      <c r="H131" s="253"/>
      <c r="I131" s="510"/>
      <c r="J131" s="510"/>
      <c r="K131" s="253"/>
      <c r="L131" s="566" t="s">
        <v>46</v>
      </c>
      <c r="M131" s="566">
        <f>G131*D131</f>
        <v>69.5</v>
      </c>
    </row>
    <row r="132" spans="2:13" ht="14.4" x14ac:dyDescent="0.3">
      <c r="B132" s="7" t="s">
        <v>558</v>
      </c>
      <c r="C132" s="35"/>
      <c r="D132" s="35">
        <v>69.5</v>
      </c>
      <c r="E132" s="509"/>
      <c r="F132" s="35"/>
      <c r="G132" s="32">
        <v>1</v>
      </c>
      <c r="H132" s="253"/>
      <c r="I132" s="510"/>
      <c r="J132" s="510"/>
      <c r="K132" s="253"/>
      <c r="L132" s="566" t="s">
        <v>46</v>
      </c>
      <c r="M132" s="566">
        <f>G132*D132</f>
        <v>69.5</v>
      </c>
    </row>
    <row r="133" spans="2:13" ht="14.4" x14ac:dyDescent="0.3">
      <c r="B133" s="7"/>
      <c r="C133" s="35"/>
      <c r="D133" s="35"/>
      <c r="E133" s="509"/>
      <c r="F133" s="35"/>
      <c r="G133" s="32"/>
      <c r="H133" s="253"/>
      <c r="I133" s="510"/>
      <c r="J133" s="510"/>
      <c r="K133" s="253"/>
      <c r="L133" s="566"/>
      <c r="M133" s="566"/>
    </row>
    <row r="134" spans="2:13" ht="14.4" x14ac:dyDescent="0.3">
      <c r="B134" s="565" t="s">
        <v>483</v>
      </c>
      <c r="C134" s="63"/>
      <c r="D134" s="63"/>
      <c r="E134" s="518"/>
      <c r="F134" s="63"/>
      <c r="G134" s="518"/>
      <c r="H134" s="63"/>
      <c r="I134" s="518"/>
      <c r="J134" s="63"/>
      <c r="K134" s="518"/>
      <c r="L134" s="63"/>
      <c r="M134" s="518"/>
    </row>
    <row r="135" spans="2:13" ht="14.4" x14ac:dyDescent="0.3">
      <c r="B135" s="137"/>
      <c r="C135" s="41"/>
      <c r="D135" s="41"/>
      <c r="E135" s="513"/>
      <c r="F135" s="41"/>
      <c r="G135" s="513"/>
      <c r="H135" s="41"/>
      <c r="I135" s="513"/>
      <c r="J135" s="41"/>
      <c r="K135" s="513"/>
      <c r="L135" s="41"/>
      <c r="M135" s="513"/>
    </row>
    <row r="136" spans="2:13" ht="14.4" x14ac:dyDescent="0.3">
      <c r="B136" s="137"/>
      <c r="C136" s="41"/>
      <c r="D136" s="41"/>
      <c r="E136" s="513"/>
      <c r="F136" s="35"/>
      <c r="G136" s="38"/>
      <c r="H136" s="514"/>
      <c r="I136" s="515"/>
      <c r="J136" s="510"/>
      <c r="K136" s="511"/>
      <c r="L136" s="146"/>
      <c r="M136" s="512"/>
    </row>
    <row r="137" spans="2:13" ht="100.8" x14ac:dyDescent="0.3">
      <c r="B137" s="516" t="s">
        <v>473</v>
      </c>
      <c r="C137" s="41"/>
      <c r="D137" s="41">
        <v>4.2300000000000004</v>
      </c>
      <c r="E137" s="513">
        <v>2.2999999999999998</v>
      </c>
      <c r="F137" s="35"/>
      <c r="G137" s="38">
        <v>1</v>
      </c>
      <c r="H137" s="514">
        <f t="shared" ref="H137:H138" si="20">G137*E137*D137</f>
        <v>9.729000000000001</v>
      </c>
      <c r="I137" s="515"/>
      <c r="J137" s="510"/>
      <c r="K137" s="511"/>
      <c r="L137" s="146" t="s">
        <v>3</v>
      </c>
      <c r="M137" s="512">
        <f t="shared" ref="M137:M138" si="21">H137</f>
        <v>9.729000000000001</v>
      </c>
    </row>
    <row r="138" spans="2:13" ht="15" thickBot="1" x14ac:dyDescent="0.35">
      <c r="B138" s="161"/>
      <c r="C138" s="63"/>
      <c r="D138" s="63">
        <v>1.88</v>
      </c>
      <c r="E138" s="518">
        <v>2.2999999999999998</v>
      </c>
      <c r="F138" s="146"/>
      <c r="G138" s="60">
        <v>1</v>
      </c>
      <c r="H138" s="249">
        <f t="shared" si="20"/>
        <v>4.3239999999999998</v>
      </c>
      <c r="I138" s="519"/>
      <c r="J138" s="520"/>
      <c r="K138" s="511"/>
      <c r="L138" s="146" t="s">
        <v>3</v>
      </c>
      <c r="M138" s="512">
        <f t="shared" si="21"/>
        <v>4.3239999999999998</v>
      </c>
    </row>
    <row r="139" spans="2:13" ht="15" thickBot="1" x14ac:dyDescent="0.35">
      <c r="B139" s="50" t="s">
        <v>474</v>
      </c>
      <c r="C139" s="539"/>
      <c r="D139" s="539"/>
      <c r="E139" s="540"/>
      <c r="F139" s="539"/>
      <c r="G139" s="54"/>
      <c r="H139" s="541"/>
      <c r="I139" s="542"/>
      <c r="J139" s="542"/>
      <c r="K139" s="541"/>
      <c r="L139" s="90" t="s">
        <v>3</v>
      </c>
      <c r="M139" s="544">
        <f>SUM(M137:M138)</f>
        <v>14.053000000000001</v>
      </c>
    </row>
    <row r="140" spans="2:13" ht="14.4" x14ac:dyDescent="0.3">
      <c r="B140" s="137"/>
      <c r="C140" s="41"/>
      <c r="D140" s="41"/>
      <c r="E140" s="513"/>
      <c r="F140" s="41"/>
      <c r="G140" s="38"/>
      <c r="H140" s="514"/>
      <c r="I140" s="515"/>
      <c r="J140" s="515"/>
      <c r="K140" s="249"/>
      <c r="L140" s="63"/>
      <c r="M140" s="521"/>
    </row>
    <row r="141" spans="2:13" ht="43.2" x14ac:dyDescent="0.3">
      <c r="B141" s="516" t="s">
        <v>475</v>
      </c>
      <c r="C141" s="41"/>
      <c r="D141" s="41">
        <f>4.23+1.88</f>
        <v>6.11</v>
      </c>
      <c r="E141" s="513">
        <v>0.35</v>
      </c>
      <c r="F141" s="35"/>
      <c r="G141" s="38">
        <v>1</v>
      </c>
      <c r="H141" s="514">
        <f t="shared" ref="H141:H143" si="22">G141*E141*D141</f>
        <v>2.1385000000000001</v>
      </c>
      <c r="I141" s="515"/>
      <c r="J141" s="510"/>
      <c r="K141" s="511"/>
      <c r="L141" s="237" t="s">
        <v>3</v>
      </c>
      <c r="M141" s="556">
        <f t="shared" ref="M141" si="23">H141</f>
        <v>2.1385000000000001</v>
      </c>
    </row>
    <row r="142" spans="2:13" ht="14.4" x14ac:dyDescent="0.3">
      <c r="B142" s="137"/>
      <c r="C142" s="41"/>
      <c r="D142" s="41"/>
      <c r="E142" s="513"/>
      <c r="F142" s="35"/>
      <c r="G142" s="38"/>
      <c r="H142" s="514"/>
      <c r="I142" s="515"/>
      <c r="J142" s="510"/>
      <c r="K142" s="511"/>
      <c r="L142" s="146"/>
      <c r="M142" s="512"/>
    </row>
    <row r="143" spans="2:13" ht="14.4" x14ac:dyDescent="0.3">
      <c r="B143" s="137" t="s">
        <v>476</v>
      </c>
      <c r="C143" s="41"/>
      <c r="D143" s="41">
        <v>6.11</v>
      </c>
      <c r="E143" s="513">
        <v>0.35</v>
      </c>
      <c r="F143" s="35"/>
      <c r="G143" s="38">
        <v>1</v>
      </c>
      <c r="H143" s="514">
        <f t="shared" si="22"/>
        <v>2.1385000000000001</v>
      </c>
      <c r="I143" s="515"/>
      <c r="J143" s="510"/>
      <c r="K143" s="511"/>
      <c r="L143" s="237" t="s">
        <v>29</v>
      </c>
      <c r="M143" s="556">
        <f>H143</f>
        <v>2.1385000000000001</v>
      </c>
    </row>
    <row r="144" spans="2:13" ht="14.4" x14ac:dyDescent="0.3">
      <c r="B144" s="137"/>
      <c r="C144" s="41"/>
      <c r="D144" s="41"/>
      <c r="E144" s="513"/>
      <c r="F144" s="35"/>
      <c r="G144" s="38"/>
      <c r="H144" s="514"/>
      <c r="I144" s="515"/>
      <c r="J144" s="510"/>
      <c r="K144" s="511"/>
      <c r="L144" s="146"/>
      <c r="M144" s="512"/>
    </row>
    <row r="145" spans="2:13" ht="14.4" x14ac:dyDescent="0.3">
      <c r="B145" s="137" t="s">
        <v>477</v>
      </c>
      <c r="C145" s="41"/>
      <c r="D145" s="41">
        <v>6.11</v>
      </c>
      <c r="E145" s="513">
        <v>0.15</v>
      </c>
      <c r="F145" s="35"/>
      <c r="G145" s="38">
        <v>1</v>
      </c>
      <c r="H145" s="514">
        <f t="shared" ref="H145" si="24">G145*E145*D145</f>
        <v>0.91649999999999998</v>
      </c>
      <c r="I145" s="515"/>
      <c r="J145" s="510"/>
      <c r="K145" s="511"/>
      <c r="L145" s="237" t="s">
        <v>3</v>
      </c>
      <c r="M145" s="556">
        <f t="shared" ref="M145" si="25">H145</f>
        <v>0.91649999999999998</v>
      </c>
    </row>
    <row r="146" spans="2:13" ht="14.4" x14ac:dyDescent="0.3">
      <c r="B146" s="137"/>
      <c r="C146" s="41"/>
      <c r="D146" s="41"/>
      <c r="E146" s="513"/>
      <c r="F146" s="35"/>
      <c r="G146" s="38"/>
      <c r="H146" s="514"/>
      <c r="I146" s="515"/>
      <c r="J146" s="510"/>
      <c r="K146" s="511"/>
      <c r="L146" s="146"/>
      <c r="M146" s="512"/>
    </row>
    <row r="147" spans="2:13" ht="14.4" x14ac:dyDescent="0.3">
      <c r="B147" s="137" t="s">
        <v>478</v>
      </c>
      <c r="C147" s="41"/>
      <c r="D147" s="41">
        <v>6.11</v>
      </c>
      <c r="E147" s="513">
        <v>0.25</v>
      </c>
      <c r="F147" s="35"/>
      <c r="G147" s="38">
        <v>1</v>
      </c>
      <c r="H147" s="514">
        <f t="shared" ref="H147" si="26">G147*E147*D147</f>
        <v>1.5275000000000001</v>
      </c>
      <c r="I147" s="515"/>
      <c r="J147" s="510"/>
      <c r="K147" s="511"/>
      <c r="L147" s="237" t="s">
        <v>3</v>
      </c>
      <c r="M147" s="556">
        <f t="shared" ref="M147" si="27">H147</f>
        <v>1.5275000000000001</v>
      </c>
    </row>
    <row r="148" spans="2:13" ht="14.4" x14ac:dyDescent="0.3">
      <c r="B148" s="137"/>
      <c r="C148" s="41"/>
      <c r="D148" s="41"/>
      <c r="E148" s="513"/>
      <c r="F148" s="35"/>
      <c r="G148" s="38"/>
      <c r="H148" s="514"/>
      <c r="I148" s="515"/>
      <c r="J148" s="510"/>
      <c r="K148" s="511"/>
      <c r="L148" s="146"/>
      <c r="M148" s="512"/>
    </row>
    <row r="149" spans="2:13" ht="14.4" x14ac:dyDescent="0.3">
      <c r="B149" s="137" t="s">
        <v>479</v>
      </c>
      <c r="C149" s="41"/>
      <c r="D149" s="41">
        <v>6.11</v>
      </c>
      <c r="E149" s="513">
        <v>0.25</v>
      </c>
      <c r="F149" s="35"/>
      <c r="G149" s="38">
        <v>1</v>
      </c>
      <c r="H149" s="514">
        <f t="shared" ref="H149" si="28">G149*E149*D149</f>
        <v>1.5275000000000001</v>
      </c>
      <c r="I149" s="515"/>
      <c r="J149" s="510"/>
      <c r="K149" s="511"/>
      <c r="L149" s="237" t="s">
        <v>3</v>
      </c>
      <c r="M149" s="556">
        <f t="shared" ref="M149" si="29">H149</f>
        <v>1.5275000000000001</v>
      </c>
    </row>
    <row r="150" spans="2:13" ht="14.4" x14ac:dyDescent="0.3">
      <c r="B150" s="137"/>
      <c r="C150" s="41"/>
      <c r="D150" s="41"/>
      <c r="E150" s="513"/>
      <c r="F150" s="35"/>
      <c r="G150" s="38"/>
      <c r="H150" s="514"/>
      <c r="I150" s="515"/>
      <c r="J150" s="510"/>
      <c r="K150" s="511"/>
      <c r="L150" s="146"/>
      <c r="M150" s="512"/>
    </row>
    <row r="151" spans="2:13" ht="14.4" x14ac:dyDescent="0.3">
      <c r="B151" s="137" t="s">
        <v>480</v>
      </c>
      <c r="C151" s="41"/>
      <c r="D151" s="41">
        <v>6.11</v>
      </c>
      <c r="E151" s="513"/>
      <c r="F151" s="35"/>
      <c r="G151" s="38">
        <v>1</v>
      </c>
      <c r="H151" s="514"/>
      <c r="I151" s="515"/>
      <c r="J151" s="510"/>
      <c r="K151" s="511"/>
      <c r="L151" s="237" t="s">
        <v>46</v>
      </c>
      <c r="M151" s="556">
        <f>G151*D151</f>
        <v>6.11</v>
      </c>
    </row>
    <row r="152" spans="2:13" ht="14.4" x14ac:dyDescent="0.3">
      <c r="B152" s="137"/>
      <c r="C152" s="41"/>
      <c r="D152" s="41"/>
      <c r="E152" s="513"/>
      <c r="F152" s="35"/>
      <c r="G152" s="38"/>
      <c r="H152" s="514"/>
      <c r="I152" s="515"/>
      <c r="J152" s="510"/>
      <c r="K152" s="511"/>
      <c r="L152" s="146"/>
      <c r="M152" s="512"/>
    </row>
    <row r="153" spans="2:13" ht="14.4" x14ac:dyDescent="0.3">
      <c r="B153" s="137" t="s">
        <v>481</v>
      </c>
      <c r="C153" s="41"/>
      <c r="D153" s="41">
        <v>6.11</v>
      </c>
      <c r="E153" s="513"/>
      <c r="F153" s="35"/>
      <c r="G153" s="38">
        <v>1</v>
      </c>
      <c r="H153" s="514"/>
      <c r="I153" s="515"/>
      <c r="J153" s="510"/>
      <c r="K153" s="511"/>
      <c r="L153" s="237" t="s">
        <v>46</v>
      </c>
      <c r="M153" s="556">
        <f>G153*D153</f>
        <v>6.11</v>
      </c>
    </row>
    <row r="154" spans="2:13" ht="14.4" x14ac:dyDescent="0.3">
      <c r="B154" s="137"/>
      <c r="C154" s="41"/>
      <c r="D154" s="41"/>
      <c r="E154" s="513"/>
      <c r="F154" s="35"/>
      <c r="G154" s="38"/>
      <c r="H154" s="514"/>
      <c r="I154" s="515"/>
      <c r="J154" s="510"/>
      <c r="K154" s="511"/>
      <c r="L154" s="146"/>
      <c r="M154" s="512"/>
    </row>
    <row r="155" spans="2:13" ht="14.4" x14ac:dyDescent="0.3">
      <c r="B155" s="137" t="s">
        <v>482</v>
      </c>
      <c r="C155" s="41"/>
      <c r="D155" s="41"/>
      <c r="E155" s="513"/>
      <c r="F155" s="35"/>
      <c r="G155" s="38">
        <v>1</v>
      </c>
      <c r="H155" s="514">
        <f>12+18</f>
        <v>30</v>
      </c>
      <c r="I155" s="515"/>
      <c r="J155" s="510"/>
      <c r="K155" s="511"/>
      <c r="L155" s="237" t="s">
        <v>3</v>
      </c>
      <c r="M155" s="556">
        <f>H155*G155</f>
        <v>30</v>
      </c>
    </row>
    <row r="156" spans="2:13" ht="14.4" x14ac:dyDescent="0.3">
      <c r="B156" s="137"/>
      <c r="C156" s="41"/>
      <c r="D156" s="41"/>
      <c r="E156" s="513"/>
      <c r="F156" s="35"/>
      <c r="G156" s="38"/>
      <c r="H156" s="514"/>
      <c r="I156" s="515"/>
      <c r="J156" s="510"/>
      <c r="K156" s="511"/>
      <c r="L156" s="146"/>
      <c r="M156" s="512"/>
    </row>
    <row r="157" spans="2:13" ht="14.4" x14ac:dyDescent="0.3">
      <c r="B157" s="137" t="s">
        <v>484</v>
      </c>
      <c r="C157" s="41"/>
      <c r="D157" s="41"/>
      <c r="E157" s="513"/>
      <c r="F157" s="35"/>
      <c r="G157" s="38">
        <v>1</v>
      </c>
      <c r="H157" s="514">
        <v>12</v>
      </c>
      <c r="I157" s="515"/>
      <c r="J157" s="510"/>
      <c r="K157" s="511"/>
      <c r="L157" s="237" t="s">
        <v>3</v>
      </c>
      <c r="M157" s="556">
        <f>H157*G157</f>
        <v>12</v>
      </c>
    </row>
    <row r="158" spans="2:13" ht="14.4" x14ac:dyDescent="0.3">
      <c r="B158" s="137"/>
      <c r="C158" s="41"/>
      <c r="D158" s="41"/>
      <c r="E158" s="513"/>
      <c r="F158" s="35"/>
      <c r="G158" s="38"/>
      <c r="H158" s="514"/>
      <c r="I158" s="515"/>
      <c r="J158" s="510"/>
      <c r="K158" s="511"/>
      <c r="L158" s="146"/>
      <c r="M158" s="512"/>
    </row>
    <row r="159" spans="2:13" ht="14.4" x14ac:dyDescent="0.3">
      <c r="B159" s="137" t="s">
        <v>485</v>
      </c>
      <c r="C159" s="41"/>
      <c r="D159" s="41"/>
      <c r="E159" s="513"/>
      <c r="F159" s="35"/>
      <c r="G159" s="38">
        <v>1</v>
      </c>
      <c r="H159" s="514">
        <v>18</v>
      </c>
      <c r="I159" s="515"/>
      <c r="J159" s="510"/>
      <c r="K159" s="511"/>
      <c r="L159" s="237" t="s">
        <v>3</v>
      </c>
      <c r="M159" s="556">
        <f>H159*G159</f>
        <v>18</v>
      </c>
    </row>
    <row r="160" spans="2:13" ht="14.4" x14ac:dyDescent="0.3">
      <c r="B160" s="137"/>
      <c r="C160" s="41"/>
      <c r="D160" s="41"/>
      <c r="E160" s="513"/>
      <c r="F160" s="35"/>
      <c r="G160" s="38"/>
      <c r="H160" s="514"/>
      <c r="I160" s="515"/>
      <c r="J160" s="510"/>
      <c r="K160" s="511"/>
      <c r="L160" s="146"/>
      <c r="M160" s="512"/>
    </row>
    <row r="161" spans="2:13" ht="14.4" x14ac:dyDescent="0.3">
      <c r="B161" s="137" t="s">
        <v>486</v>
      </c>
      <c r="C161" s="41"/>
      <c r="D161" s="41"/>
      <c r="E161" s="513"/>
      <c r="F161" s="35"/>
      <c r="G161" s="38">
        <v>1</v>
      </c>
      <c r="H161" s="514">
        <v>390</v>
      </c>
      <c r="I161" s="515"/>
      <c r="J161" s="510"/>
      <c r="K161" s="511"/>
      <c r="L161" s="237" t="s">
        <v>3</v>
      </c>
      <c r="M161" s="556">
        <f>H161*G161</f>
        <v>390</v>
      </c>
    </row>
    <row r="162" spans="2:13" ht="14.4" x14ac:dyDescent="0.3">
      <c r="B162" s="137"/>
      <c r="C162" s="41"/>
      <c r="D162" s="41"/>
      <c r="E162" s="513"/>
      <c r="F162" s="35"/>
      <c r="G162" s="38"/>
      <c r="H162" s="514"/>
      <c r="I162" s="515"/>
      <c r="J162" s="510"/>
      <c r="K162" s="511"/>
      <c r="L162" s="146"/>
      <c r="M162" s="512"/>
    </row>
    <row r="163" spans="2:13" ht="14.4" x14ac:dyDescent="0.3">
      <c r="B163" s="137" t="s">
        <v>487</v>
      </c>
      <c r="C163" s="41"/>
      <c r="D163" s="41"/>
      <c r="E163" s="513"/>
      <c r="F163" s="35"/>
      <c r="G163" s="38">
        <v>1</v>
      </c>
      <c r="H163" s="514">
        <v>118</v>
      </c>
      <c r="I163" s="515"/>
      <c r="J163" s="510"/>
      <c r="K163" s="511"/>
      <c r="L163" s="237" t="s">
        <v>3</v>
      </c>
      <c r="M163" s="556">
        <v>118</v>
      </c>
    </row>
    <row r="164" spans="2:13" ht="14.4" x14ac:dyDescent="0.3">
      <c r="B164" s="137"/>
      <c r="C164" s="41"/>
      <c r="D164" s="41"/>
      <c r="E164" s="513"/>
      <c r="F164" s="35"/>
      <c r="G164" s="38"/>
      <c r="H164" s="514"/>
      <c r="I164" s="515"/>
      <c r="J164" s="510"/>
      <c r="K164" s="511"/>
      <c r="L164" s="146"/>
      <c r="M164" s="512"/>
    </row>
    <row r="165" spans="2:13" ht="28.8" x14ac:dyDescent="0.3">
      <c r="B165" s="516" t="s">
        <v>460</v>
      </c>
      <c r="C165" s="41">
        <v>8</v>
      </c>
      <c r="D165" s="41"/>
      <c r="E165" s="513"/>
      <c r="F165" s="35"/>
      <c r="G165" s="38">
        <v>1</v>
      </c>
      <c r="H165" s="514"/>
      <c r="I165" s="515"/>
      <c r="J165" s="510"/>
      <c r="K165" s="511"/>
      <c r="L165" s="146" t="s">
        <v>16</v>
      </c>
      <c r="M165" s="512">
        <f t="shared" ref="M165:M167" si="30">G165*C165</f>
        <v>8</v>
      </c>
    </row>
    <row r="166" spans="2:13" ht="28.8" x14ac:dyDescent="0.3">
      <c r="B166" s="516" t="s">
        <v>461</v>
      </c>
      <c r="C166" s="41">
        <v>12</v>
      </c>
      <c r="D166" s="41"/>
      <c r="E166" s="513"/>
      <c r="F166" s="35"/>
      <c r="G166" s="38">
        <v>1</v>
      </c>
      <c r="H166" s="514"/>
      <c r="I166" s="515"/>
      <c r="J166" s="510"/>
      <c r="K166" s="511"/>
      <c r="L166" s="146" t="s">
        <v>16</v>
      </c>
      <c r="M166" s="512">
        <f t="shared" si="30"/>
        <v>12</v>
      </c>
    </row>
    <row r="167" spans="2:13" ht="28.8" x14ac:dyDescent="0.3">
      <c r="B167" s="516" t="s">
        <v>462</v>
      </c>
      <c r="C167" s="41">
        <v>2</v>
      </c>
      <c r="D167" s="41"/>
      <c r="E167" s="513"/>
      <c r="F167" s="35"/>
      <c r="G167" s="38">
        <v>1</v>
      </c>
      <c r="H167" s="514"/>
      <c r="I167" s="515"/>
      <c r="J167" s="510"/>
      <c r="K167" s="511"/>
      <c r="L167" s="146" t="s">
        <v>16</v>
      </c>
      <c r="M167" s="512">
        <f t="shared" si="30"/>
        <v>2</v>
      </c>
    </row>
    <row r="168" spans="2:13" ht="28.8" x14ac:dyDescent="0.3">
      <c r="B168" s="516" t="s">
        <v>488</v>
      </c>
      <c r="C168" s="41">
        <v>5</v>
      </c>
      <c r="D168" s="41"/>
      <c r="E168" s="513"/>
      <c r="F168" s="35"/>
      <c r="G168" s="38">
        <v>1</v>
      </c>
      <c r="H168" s="514"/>
      <c r="I168" s="515"/>
      <c r="J168" s="510"/>
      <c r="K168" s="511"/>
      <c r="L168" s="146" t="s">
        <v>16</v>
      </c>
      <c r="M168" s="512">
        <f t="shared" ref="M168" si="31">G168*C168</f>
        <v>5</v>
      </c>
    </row>
    <row r="169" spans="2:13" ht="28.8" x14ac:dyDescent="0.3">
      <c r="B169" s="516" t="s">
        <v>489</v>
      </c>
      <c r="C169" s="41">
        <v>24</v>
      </c>
      <c r="D169" s="41"/>
      <c r="E169" s="513"/>
      <c r="F169" s="35"/>
      <c r="G169" s="38">
        <v>1</v>
      </c>
      <c r="H169" s="514"/>
      <c r="I169" s="515"/>
      <c r="J169" s="510"/>
      <c r="K169" s="511"/>
      <c r="L169" s="146" t="s">
        <v>16</v>
      </c>
      <c r="M169" s="512">
        <f t="shared" ref="M169:M170" si="32">G169*C169</f>
        <v>24</v>
      </c>
    </row>
    <row r="170" spans="2:13" ht="29.4" thickBot="1" x14ac:dyDescent="0.35">
      <c r="B170" s="516" t="s">
        <v>490</v>
      </c>
      <c r="C170" s="41">
        <v>4</v>
      </c>
      <c r="D170" s="41"/>
      <c r="E170" s="513"/>
      <c r="F170" s="35"/>
      <c r="G170" s="38">
        <v>1</v>
      </c>
      <c r="H170" s="514"/>
      <c r="I170" s="515"/>
      <c r="J170" s="510"/>
      <c r="K170" s="511"/>
      <c r="L170" s="146" t="s">
        <v>46</v>
      </c>
      <c r="M170" s="512">
        <f t="shared" si="32"/>
        <v>4</v>
      </c>
    </row>
    <row r="171" spans="2:13" ht="15" thickBot="1" x14ac:dyDescent="0.35">
      <c r="B171" s="137"/>
      <c r="C171" s="41"/>
      <c r="D171" s="41"/>
      <c r="E171" s="513"/>
      <c r="F171" s="35"/>
      <c r="G171" s="38"/>
      <c r="H171" s="514"/>
      <c r="I171" s="515"/>
      <c r="J171" s="557"/>
      <c r="K171" s="558"/>
      <c r="L171" s="539"/>
      <c r="M171" s="543"/>
    </row>
    <row r="172" spans="2:13" ht="14.4" x14ac:dyDescent="0.3">
      <c r="B172" s="517" t="s">
        <v>491</v>
      </c>
      <c r="C172" s="63"/>
      <c r="D172" s="63"/>
      <c r="E172" s="518"/>
      <c r="F172" s="63"/>
      <c r="G172" s="518"/>
      <c r="H172" s="63"/>
      <c r="I172" s="518"/>
      <c r="J172" s="63"/>
      <c r="K172" s="518"/>
      <c r="L172" s="63"/>
      <c r="M172" s="518"/>
    </row>
    <row r="173" spans="2:13" ht="14.4" x14ac:dyDescent="0.3">
      <c r="B173" s="137"/>
      <c r="C173" s="41"/>
      <c r="D173" s="41"/>
      <c r="E173" s="513"/>
      <c r="F173" s="41"/>
      <c r="G173" s="513"/>
      <c r="H173" s="41"/>
      <c r="I173" s="513"/>
      <c r="J173" s="41"/>
      <c r="K173" s="513"/>
      <c r="L173" s="41"/>
      <c r="M173" s="513"/>
    </row>
    <row r="174" spans="2:13" ht="14.4" x14ac:dyDescent="0.3">
      <c r="B174" s="137" t="s">
        <v>482</v>
      </c>
      <c r="C174" s="41"/>
      <c r="D174" s="41"/>
      <c r="E174" s="513"/>
      <c r="F174" s="35"/>
      <c r="G174" s="38">
        <v>1</v>
      </c>
      <c r="H174" s="514">
        <f>62.4+49.6</f>
        <v>112</v>
      </c>
      <c r="I174" s="515"/>
      <c r="J174" s="510"/>
      <c r="K174" s="511"/>
      <c r="L174" s="237" t="s">
        <v>3</v>
      </c>
      <c r="M174" s="556">
        <f>H174*G174</f>
        <v>112</v>
      </c>
    </row>
    <row r="175" spans="2:13" ht="14.4" x14ac:dyDescent="0.3">
      <c r="B175" s="137"/>
      <c r="C175" s="41"/>
      <c r="D175" s="41"/>
      <c r="E175" s="513"/>
      <c r="F175" s="35"/>
      <c r="G175" s="38"/>
      <c r="H175" s="514"/>
      <c r="I175" s="515"/>
      <c r="J175" s="510"/>
      <c r="K175" s="511"/>
      <c r="L175" s="146"/>
      <c r="M175" s="512"/>
    </row>
    <row r="176" spans="2:13" ht="14.4" x14ac:dyDescent="0.3">
      <c r="B176" s="137" t="s">
        <v>484</v>
      </c>
      <c r="C176" s="41"/>
      <c r="D176" s="41"/>
      <c r="E176" s="513"/>
      <c r="F176" s="35"/>
      <c r="G176" s="38">
        <v>1</v>
      </c>
      <c r="H176" s="514">
        <v>62.4</v>
      </c>
      <c r="I176" s="515"/>
      <c r="J176" s="510"/>
      <c r="K176" s="511"/>
      <c r="L176" s="237" t="s">
        <v>3</v>
      </c>
      <c r="M176" s="556">
        <f>H176*G176</f>
        <v>62.4</v>
      </c>
    </row>
    <row r="177" spans="2:13" ht="14.4" x14ac:dyDescent="0.3">
      <c r="B177" s="137"/>
      <c r="C177" s="41"/>
      <c r="D177" s="41"/>
      <c r="E177" s="513"/>
      <c r="F177" s="35"/>
      <c r="G177" s="38"/>
      <c r="H177" s="514"/>
      <c r="I177" s="515"/>
      <c r="J177" s="510"/>
      <c r="K177" s="511"/>
      <c r="L177" s="146"/>
      <c r="M177" s="512"/>
    </row>
    <row r="178" spans="2:13" ht="14.4" x14ac:dyDescent="0.3">
      <c r="B178" s="137" t="s">
        <v>485</v>
      </c>
      <c r="C178" s="41"/>
      <c r="D178" s="41"/>
      <c r="E178" s="513"/>
      <c r="F178" s="35"/>
      <c r="G178" s="38">
        <v>1</v>
      </c>
      <c r="H178" s="514">
        <v>49.6</v>
      </c>
      <c r="I178" s="515"/>
      <c r="J178" s="510"/>
      <c r="K178" s="511"/>
      <c r="L178" s="237" t="s">
        <v>3</v>
      </c>
      <c r="M178" s="556">
        <f>H178*G178</f>
        <v>49.6</v>
      </c>
    </row>
    <row r="179" spans="2:13" ht="15" thickBot="1" x14ac:dyDescent="0.35">
      <c r="B179" s="137"/>
      <c r="C179" s="41"/>
      <c r="D179" s="41"/>
      <c r="E179" s="513"/>
      <c r="F179" s="35"/>
      <c r="G179" s="38"/>
      <c r="H179" s="514"/>
      <c r="I179" s="515"/>
      <c r="J179" s="510"/>
      <c r="K179" s="511"/>
      <c r="L179" s="146"/>
      <c r="M179" s="512"/>
    </row>
    <row r="180" spans="2:13" ht="14.4" x14ac:dyDescent="0.3">
      <c r="B180" s="74" t="s">
        <v>459</v>
      </c>
      <c r="C180" s="35">
        <v>3</v>
      </c>
      <c r="D180" s="35"/>
      <c r="E180" s="509"/>
      <c r="F180" s="35"/>
      <c r="G180" s="32">
        <v>1</v>
      </c>
      <c r="H180" s="253"/>
      <c r="I180" s="510"/>
      <c r="J180" s="510"/>
      <c r="K180" s="511"/>
      <c r="L180" s="155" t="s">
        <v>16</v>
      </c>
      <c r="M180" s="512">
        <f>G180*C180</f>
        <v>3</v>
      </c>
    </row>
    <row r="181" spans="2:13" ht="14.4" x14ac:dyDescent="0.3">
      <c r="B181" s="137" t="s">
        <v>499</v>
      </c>
      <c r="C181" s="41"/>
      <c r="D181" s="41">
        <v>3.8</v>
      </c>
      <c r="E181" s="513"/>
      <c r="F181" s="35"/>
      <c r="G181" s="38">
        <v>3</v>
      </c>
      <c r="H181" s="514"/>
      <c r="I181" s="515"/>
      <c r="J181" s="510"/>
      <c r="K181" s="511"/>
      <c r="L181" s="35" t="s">
        <v>46</v>
      </c>
      <c r="M181" s="512">
        <f>G181*D181</f>
        <v>11.399999999999999</v>
      </c>
    </row>
    <row r="182" spans="2:13" ht="14.4" x14ac:dyDescent="0.3">
      <c r="B182" s="137" t="s">
        <v>500</v>
      </c>
      <c r="C182" s="41"/>
      <c r="D182" s="41">
        <v>0.8</v>
      </c>
      <c r="E182" s="513">
        <v>0.8</v>
      </c>
      <c r="F182" s="35">
        <v>0.5</v>
      </c>
      <c r="G182" s="38">
        <v>3</v>
      </c>
      <c r="H182" s="514"/>
      <c r="I182" s="515"/>
      <c r="J182" s="510">
        <f>G182*F182*E182*D182</f>
        <v>0.96000000000000019</v>
      </c>
      <c r="K182" s="511"/>
      <c r="L182" s="35" t="s">
        <v>29</v>
      </c>
      <c r="M182" s="512">
        <f>J182</f>
        <v>0.96000000000000019</v>
      </c>
    </row>
    <row r="183" spans="2:13" ht="14.4" x14ac:dyDescent="0.3">
      <c r="B183" s="137"/>
      <c r="C183" s="41"/>
      <c r="D183" s="41"/>
      <c r="E183" s="513"/>
      <c r="F183" s="35"/>
      <c r="G183" s="38"/>
      <c r="H183" s="514"/>
      <c r="I183" s="515"/>
      <c r="J183" s="510"/>
      <c r="K183" s="511"/>
      <c r="L183" s="63"/>
      <c r="M183" s="512"/>
    </row>
    <row r="184" spans="2:13" ht="14.4" x14ac:dyDescent="0.3">
      <c r="B184" s="137"/>
      <c r="C184" s="41"/>
      <c r="D184" s="41"/>
      <c r="E184" s="513"/>
      <c r="F184" s="35"/>
      <c r="G184" s="38"/>
      <c r="H184" s="514"/>
      <c r="I184" s="515"/>
      <c r="J184" s="510"/>
      <c r="K184" s="511"/>
      <c r="L184" s="146"/>
      <c r="M184" s="512"/>
    </row>
    <row r="185" spans="2:13" ht="28.8" x14ac:dyDescent="0.3">
      <c r="B185" s="516" t="s">
        <v>460</v>
      </c>
      <c r="C185" s="41">
        <v>18</v>
      </c>
      <c r="D185" s="41"/>
      <c r="E185" s="513"/>
      <c r="F185" s="35"/>
      <c r="G185" s="38">
        <v>1</v>
      </c>
      <c r="H185" s="514"/>
      <c r="I185" s="515"/>
      <c r="J185" s="510"/>
      <c r="K185" s="511"/>
      <c r="L185" s="146" t="s">
        <v>16</v>
      </c>
      <c r="M185" s="512">
        <f t="shared" ref="M185:M186" si="33">G185*C185</f>
        <v>18</v>
      </c>
    </row>
    <row r="186" spans="2:13" ht="28.8" x14ac:dyDescent="0.3">
      <c r="B186" s="516" t="s">
        <v>461</v>
      </c>
      <c r="C186" s="41">
        <v>3</v>
      </c>
      <c r="D186" s="41"/>
      <c r="E186" s="513"/>
      <c r="F186" s="35"/>
      <c r="G186" s="38">
        <v>1</v>
      </c>
      <c r="H186" s="514"/>
      <c r="I186" s="515"/>
      <c r="J186" s="510"/>
      <c r="K186" s="511"/>
      <c r="L186" s="146" t="s">
        <v>16</v>
      </c>
      <c r="M186" s="512">
        <f t="shared" si="33"/>
        <v>3</v>
      </c>
    </row>
    <row r="187" spans="2:13" ht="14.4" x14ac:dyDescent="0.3">
      <c r="B187" s="137" t="s">
        <v>492</v>
      </c>
      <c r="C187" s="41">
        <v>6</v>
      </c>
      <c r="D187" s="41"/>
      <c r="E187" s="513"/>
      <c r="F187" s="35"/>
      <c r="G187" s="38">
        <v>1</v>
      </c>
      <c r="H187" s="514"/>
      <c r="I187" s="515"/>
      <c r="J187" s="510"/>
      <c r="K187" s="511"/>
      <c r="L187" s="146" t="s">
        <v>16</v>
      </c>
      <c r="M187" s="512">
        <f t="shared" ref="M187" si="34">G187*C187</f>
        <v>6</v>
      </c>
    </row>
    <row r="188" spans="2:13" ht="28.8" x14ac:dyDescent="0.3">
      <c r="B188" s="516" t="s">
        <v>490</v>
      </c>
      <c r="C188" s="41">
        <v>10</v>
      </c>
      <c r="D188" s="41"/>
      <c r="E188" s="513"/>
      <c r="F188" s="35"/>
      <c r="G188" s="38">
        <v>1</v>
      </c>
      <c r="H188" s="514"/>
      <c r="I188" s="515"/>
      <c r="J188" s="510"/>
      <c r="K188" s="511"/>
      <c r="L188" s="146" t="s">
        <v>46</v>
      </c>
      <c r="M188" s="512">
        <f t="shared" ref="M188" si="35">G188*C188</f>
        <v>10</v>
      </c>
    </row>
    <row r="189" spans="2:13" ht="14.4" x14ac:dyDescent="0.3">
      <c r="B189" s="137"/>
      <c r="C189" s="41"/>
      <c r="D189" s="41"/>
      <c r="E189" s="513"/>
      <c r="F189" s="35"/>
      <c r="G189" s="38"/>
      <c r="H189" s="514"/>
      <c r="I189" s="515"/>
      <c r="J189" s="510"/>
      <c r="K189" s="511"/>
      <c r="L189" s="146"/>
      <c r="M189" s="512"/>
    </row>
    <row r="190" spans="2:13" ht="14.4" x14ac:dyDescent="0.3">
      <c r="B190" s="137" t="s">
        <v>496</v>
      </c>
      <c r="C190" s="41"/>
      <c r="D190" s="41">
        <v>7.75</v>
      </c>
      <c r="E190" s="513">
        <v>3</v>
      </c>
      <c r="F190" s="35"/>
      <c r="G190" s="38">
        <v>1</v>
      </c>
      <c r="H190" s="514">
        <v>49.6</v>
      </c>
      <c r="I190" s="515"/>
      <c r="J190" s="510"/>
      <c r="K190" s="511"/>
      <c r="L190" s="237" t="s">
        <v>3</v>
      </c>
      <c r="M190" s="556">
        <f>H190*G190</f>
        <v>49.6</v>
      </c>
    </row>
    <row r="191" spans="2:13" ht="14.4" x14ac:dyDescent="0.3">
      <c r="B191" s="137"/>
      <c r="C191" s="41"/>
      <c r="D191" s="41"/>
      <c r="E191" s="513"/>
      <c r="F191" s="35"/>
      <c r="G191" s="38"/>
      <c r="H191" s="514"/>
      <c r="I191" s="515"/>
      <c r="J191" s="510"/>
      <c r="K191" s="511"/>
      <c r="L191" s="146"/>
      <c r="M191" s="512"/>
    </row>
    <row r="192" spans="2:13" ht="14.4" x14ac:dyDescent="0.3">
      <c r="B192" s="137" t="s">
        <v>497</v>
      </c>
      <c r="C192" s="41"/>
      <c r="D192" s="41">
        <v>7.75</v>
      </c>
      <c r="E192" s="513">
        <v>3</v>
      </c>
      <c r="F192" s="35"/>
      <c r="G192" s="38">
        <v>3</v>
      </c>
      <c r="H192" s="514">
        <v>49.6</v>
      </c>
      <c r="I192" s="515"/>
      <c r="J192" s="510"/>
      <c r="K192" s="511"/>
      <c r="L192" s="237" t="s">
        <v>3</v>
      </c>
      <c r="M192" s="556">
        <f>H192*G192</f>
        <v>148.80000000000001</v>
      </c>
    </row>
    <row r="193" spans="2:13" ht="15" thickBot="1" x14ac:dyDescent="0.35">
      <c r="B193" s="161"/>
      <c r="C193" s="63"/>
      <c r="D193" s="63"/>
      <c r="E193" s="518"/>
      <c r="F193" s="146"/>
      <c r="G193" s="60"/>
      <c r="H193" s="249"/>
      <c r="I193" s="519"/>
      <c r="J193" s="520"/>
      <c r="K193" s="511"/>
      <c r="L193" s="146"/>
      <c r="M193" s="512"/>
    </row>
    <row r="194" spans="2:13" ht="14.4" x14ac:dyDescent="0.3">
      <c r="B194" s="279" t="s">
        <v>502</v>
      </c>
      <c r="C194" s="72"/>
      <c r="D194" s="72"/>
      <c r="E194" s="522"/>
      <c r="F194" s="72"/>
      <c r="G194" s="69"/>
      <c r="H194" s="257"/>
      <c r="I194" s="507"/>
      <c r="J194" s="507"/>
      <c r="K194" s="269"/>
      <c r="L194" s="155"/>
      <c r="M194" s="508"/>
    </row>
    <row r="195" spans="2:13" ht="14.4" x14ac:dyDescent="0.3">
      <c r="B195" s="137" t="s">
        <v>503</v>
      </c>
      <c r="C195" s="41"/>
      <c r="D195" s="41">
        <v>5.6</v>
      </c>
      <c r="E195" s="513"/>
      <c r="F195" s="35">
        <v>0.4</v>
      </c>
      <c r="G195" s="38">
        <v>3</v>
      </c>
      <c r="H195" s="514">
        <f>G195*F195*D195</f>
        <v>6.7200000000000006</v>
      </c>
      <c r="I195" s="515"/>
      <c r="J195" s="510"/>
      <c r="K195" s="511"/>
      <c r="L195" s="237" t="s">
        <v>3</v>
      </c>
      <c r="M195" s="556">
        <f>H195*G195</f>
        <v>20.160000000000004</v>
      </c>
    </row>
    <row r="196" spans="2:13" ht="14.4" x14ac:dyDescent="0.3">
      <c r="B196" s="137" t="s">
        <v>504</v>
      </c>
      <c r="C196" s="41"/>
      <c r="D196" s="41">
        <v>1.2</v>
      </c>
      <c r="E196" s="513">
        <v>1.2</v>
      </c>
      <c r="F196" s="35">
        <v>0.1</v>
      </c>
      <c r="G196" s="38">
        <v>3</v>
      </c>
      <c r="H196" s="514"/>
      <c r="I196" s="515"/>
      <c r="J196" s="510">
        <f>G196*F196*E196*D196</f>
        <v>0.43200000000000005</v>
      </c>
      <c r="K196" s="511"/>
      <c r="L196" s="35" t="s">
        <v>29</v>
      </c>
      <c r="M196" s="512">
        <f>J196</f>
        <v>0.43200000000000005</v>
      </c>
    </row>
    <row r="197" spans="2:13" ht="14.4" x14ac:dyDescent="0.3">
      <c r="B197" s="137" t="s">
        <v>505</v>
      </c>
      <c r="C197" s="41"/>
      <c r="D197" s="41">
        <v>1.2</v>
      </c>
      <c r="E197" s="513">
        <v>1.2</v>
      </c>
      <c r="F197" s="35">
        <v>0.3</v>
      </c>
      <c r="G197" s="38">
        <v>3</v>
      </c>
      <c r="H197" s="514"/>
      <c r="I197" s="515"/>
      <c r="J197" s="510">
        <f>G197*F197*E197*D197</f>
        <v>1.2959999999999998</v>
      </c>
      <c r="K197" s="511"/>
      <c r="L197" s="35" t="s">
        <v>29</v>
      </c>
      <c r="M197" s="512">
        <f>J197</f>
        <v>1.2959999999999998</v>
      </c>
    </row>
    <row r="198" spans="2:13" ht="14.4" x14ac:dyDescent="0.3">
      <c r="B198" s="137" t="s">
        <v>506</v>
      </c>
      <c r="C198" s="41"/>
      <c r="D198" s="41">
        <v>5.6</v>
      </c>
      <c r="E198" s="513"/>
      <c r="F198" s="35">
        <v>1</v>
      </c>
      <c r="G198" s="38">
        <v>3</v>
      </c>
      <c r="H198" s="514">
        <f>G198*F198*D198</f>
        <v>16.799999999999997</v>
      </c>
      <c r="I198" s="515"/>
      <c r="J198" s="510"/>
      <c r="K198" s="511"/>
      <c r="L198" s="237" t="s">
        <v>3</v>
      </c>
      <c r="M198" s="556">
        <f>H198*G198</f>
        <v>50.399999999999991</v>
      </c>
    </row>
    <row r="199" spans="2:13" ht="14.4" x14ac:dyDescent="0.3">
      <c r="B199" s="137" t="s">
        <v>507</v>
      </c>
      <c r="C199" s="41"/>
      <c r="D199" s="41">
        <v>5.6</v>
      </c>
      <c r="E199" s="513"/>
      <c r="F199" s="35">
        <v>1</v>
      </c>
      <c r="G199" s="38">
        <v>3</v>
      </c>
      <c r="H199" s="514">
        <f t="shared" ref="H199:H200" si="36">G199*F199*D199</f>
        <v>16.799999999999997</v>
      </c>
      <c r="I199" s="515"/>
      <c r="J199" s="510"/>
      <c r="K199" s="511"/>
      <c r="L199" s="237" t="s">
        <v>3</v>
      </c>
      <c r="M199" s="556">
        <f t="shared" ref="M199:M200" si="37">H199*G199</f>
        <v>50.399999999999991</v>
      </c>
    </row>
    <row r="200" spans="2:13" ht="29.4" thickBot="1" x14ac:dyDescent="0.35">
      <c r="B200" s="562" t="s">
        <v>508</v>
      </c>
      <c r="C200" s="523"/>
      <c r="D200" s="523">
        <v>5.6</v>
      </c>
      <c r="E200" s="524"/>
      <c r="F200" s="218">
        <v>1</v>
      </c>
      <c r="G200" s="79">
        <v>3</v>
      </c>
      <c r="H200" s="525">
        <f t="shared" si="36"/>
        <v>16.799999999999997</v>
      </c>
      <c r="I200" s="526"/>
      <c r="J200" s="527"/>
      <c r="K200" s="528"/>
      <c r="L200" s="139" t="s">
        <v>3</v>
      </c>
      <c r="M200" s="530">
        <f t="shared" si="37"/>
        <v>50.399999999999991</v>
      </c>
    </row>
    <row r="201" spans="2:13" ht="14.4" x14ac:dyDescent="0.3">
      <c r="B201" s="176"/>
      <c r="C201" s="63"/>
      <c r="D201" s="63"/>
      <c r="E201" s="518"/>
      <c r="F201" s="63"/>
      <c r="G201" s="60"/>
      <c r="H201" s="249"/>
      <c r="I201" s="519"/>
      <c r="J201" s="519"/>
      <c r="K201" s="249"/>
      <c r="L201" s="145"/>
      <c r="M201" s="555"/>
    </row>
    <row r="202" spans="2:13" ht="28.8" x14ac:dyDescent="0.3">
      <c r="B202" s="516" t="s">
        <v>509</v>
      </c>
      <c r="C202" s="41"/>
      <c r="D202" s="41">
        <v>13.05</v>
      </c>
      <c r="E202" s="513"/>
      <c r="F202" s="41"/>
      <c r="G202" s="38">
        <v>1</v>
      </c>
      <c r="H202" s="514"/>
      <c r="I202" s="515"/>
      <c r="J202" s="515"/>
      <c r="K202" s="270"/>
      <c r="L202" s="35" t="s">
        <v>46</v>
      </c>
      <c r="M202" s="561">
        <f>G202*D202</f>
        <v>13.05</v>
      </c>
    </row>
    <row r="203" spans="2:13" ht="14.4" x14ac:dyDescent="0.3">
      <c r="B203" s="516"/>
      <c r="C203" s="41"/>
      <c r="D203" s="41"/>
      <c r="E203" s="513"/>
      <c r="F203" s="41"/>
      <c r="G203" s="38"/>
      <c r="H203" s="514"/>
      <c r="I203" s="515"/>
      <c r="J203" s="515"/>
      <c r="K203" s="270"/>
      <c r="L203" s="35"/>
      <c r="M203" s="561"/>
    </row>
    <row r="204" spans="2:13" ht="14.4" x14ac:dyDescent="0.3">
      <c r="B204" s="516" t="s">
        <v>510</v>
      </c>
      <c r="C204" s="41"/>
      <c r="D204" s="41"/>
      <c r="E204" s="513"/>
      <c r="F204" s="41"/>
      <c r="G204" s="38"/>
      <c r="H204" s="514"/>
      <c r="I204" s="515"/>
      <c r="J204" s="515"/>
      <c r="K204" s="270"/>
      <c r="L204" s="35"/>
      <c r="M204" s="561"/>
    </row>
    <row r="205" spans="2:13" ht="14.4" x14ac:dyDescent="0.3">
      <c r="B205" s="137" t="s">
        <v>511</v>
      </c>
      <c r="C205" s="41"/>
      <c r="D205" s="41">
        <f>12.79+2.95+2.73+5.71+0.55+4.42+1.88+6.88+2.31+6+3.18</f>
        <v>49.4</v>
      </c>
      <c r="E205" s="513"/>
      <c r="F205" s="41">
        <v>0.35</v>
      </c>
      <c r="G205" s="38">
        <v>1</v>
      </c>
      <c r="H205" s="514">
        <f>G205*F205*D205</f>
        <v>17.29</v>
      </c>
      <c r="I205" s="515"/>
      <c r="J205" s="510"/>
      <c r="K205" s="511"/>
      <c r="L205" s="237" t="s">
        <v>3</v>
      </c>
      <c r="M205" s="556">
        <f>H205*G205</f>
        <v>17.29</v>
      </c>
    </row>
    <row r="206" spans="2:13" ht="14.4" x14ac:dyDescent="0.3">
      <c r="B206" s="137" t="s">
        <v>506</v>
      </c>
      <c r="C206" s="41"/>
      <c r="D206" s="41">
        <f t="shared" ref="D206:D209" si="38">12.79+2.95+2.73+5.71+0.55+4.42+1.88+6.88+2.31+6+3.18</f>
        <v>49.4</v>
      </c>
      <c r="E206" s="513"/>
      <c r="F206" s="41">
        <v>0.8</v>
      </c>
      <c r="G206" s="38">
        <v>1</v>
      </c>
      <c r="H206" s="514">
        <f t="shared" ref="H206:H207" si="39">G206*F206*D206</f>
        <v>39.520000000000003</v>
      </c>
      <c r="I206" s="515"/>
      <c r="J206" s="510"/>
      <c r="K206" s="511"/>
      <c r="L206" s="237" t="s">
        <v>3</v>
      </c>
      <c r="M206" s="556">
        <f t="shared" ref="M206:M207" si="40">H206*G206</f>
        <v>39.520000000000003</v>
      </c>
    </row>
    <row r="207" spans="2:13" ht="14.4" x14ac:dyDescent="0.3">
      <c r="B207" s="137" t="s">
        <v>479</v>
      </c>
      <c r="C207" s="41"/>
      <c r="D207" s="41">
        <f t="shared" si="38"/>
        <v>49.4</v>
      </c>
      <c r="E207" s="513"/>
      <c r="F207" s="41">
        <v>0.8</v>
      </c>
      <c r="G207" s="38">
        <v>1</v>
      </c>
      <c r="H207" s="514">
        <f t="shared" si="39"/>
        <v>39.520000000000003</v>
      </c>
      <c r="I207" s="515"/>
      <c r="J207" s="510"/>
      <c r="K207" s="511"/>
      <c r="L207" s="237" t="s">
        <v>3</v>
      </c>
      <c r="M207" s="556">
        <f t="shared" si="40"/>
        <v>39.520000000000003</v>
      </c>
    </row>
    <row r="208" spans="2:13" ht="14.4" x14ac:dyDescent="0.3">
      <c r="B208" s="137" t="s">
        <v>481</v>
      </c>
      <c r="C208" s="41"/>
      <c r="D208" s="41">
        <f>D207</f>
        <v>49.4</v>
      </c>
      <c r="E208" s="513"/>
      <c r="F208" s="35"/>
      <c r="G208" s="38">
        <v>1</v>
      </c>
      <c r="H208" s="514"/>
      <c r="I208" s="515"/>
      <c r="J208" s="510"/>
      <c r="K208" s="511"/>
      <c r="L208" s="237" t="s">
        <v>46</v>
      </c>
      <c r="M208" s="556">
        <f>G208*D208</f>
        <v>49.4</v>
      </c>
    </row>
    <row r="209" spans="2:13" ht="14.4" x14ac:dyDescent="0.3">
      <c r="B209" s="137" t="s">
        <v>512</v>
      </c>
      <c r="C209" s="41"/>
      <c r="D209" s="41">
        <f t="shared" si="38"/>
        <v>49.4</v>
      </c>
      <c r="E209" s="513"/>
      <c r="F209" s="41">
        <v>0.8</v>
      </c>
      <c r="G209" s="38">
        <v>1</v>
      </c>
      <c r="H209" s="514">
        <f t="shared" ref="H209" si="41">G209*F209*D209</f>
        <v>39.520000000000003</v>
      </c>
      <c r="I209" s="515"/>
      <c r="J209" s="510"/>
      <c r="K209" s="511"/>
      <c r="L209" s="237" t="s">
        <v>3</v>
      </c>
      <c r="M209" s="556">
        <f t="shared" ref="M209" si="42">H209*G209</f>
        <v>39.520000000000003</v>
      </c>
    </row>
    <row r="210" spans="2:13" ht="14.4" x14ac:dyDescent="0.3">
      <c r="B210" s="137"/>
      <c r="C210" s="41"/>
      <c r="D210" s="41"/>
      <c r="E210" s="513"/>
      <c r="F210" s="41"/>
      <c r="G210" s="38"/>
      <c r="H210" s="514"/>
      <c r="I210" s="515"/>
      <c r="J210" s="510"/>
      <c r="K210" s="511"/>
      <c r="L210" s="237"/>
      <c r="M210" s="556"/>
    </row>
    <row r="211" spans="2:13" ht="14.4" x14ac:dyDescent="0.3">
      <c r="B211" s="517" t="s">
        <v>513</v>
      </c>
      <c r="C211" s="63"/>
      <c r="D211" s="63"/>
      <c r="E211" s="518"/>
      <c r="F211" s="63"/>
      <c r="G211" s="518"/>
      <c r="H211" s="63"/>
      <c r="I211" s="518"/>
      <c r="J211" s="63"/>
      <c r="K211" s="146"/>
      <c r="L211" s="564"/>
      <c r="M211" s="146"/>
    </row>
    <row r="212" spans="2:13" ht="14.4" x14ac:dyDescent="0.3">
      <c r="B212" s="537" t="s">
        <v>518</v>
      </c>
      <c r="C212" s="41"/>
      <c r="D212" s="41"/>
      <c r="E212" s="513"/>
      <c r="F212" s="41"/>
      <c r="G212" s="513"/>
      <c r="H212" s="41"/>
      <c r="I212" s="513"/>
      <c r="J212" s="41"/>
      <c r="K212" s="41"/>
      <c r="L212" s="513"/>
      <c r="M212" s="41"/>
    </row>
    <row r="213" spans="2:13" ht="14.4" x14ac:dyDescent="0.3">
      <c r="B213" s="137" t="s">
        <v>516</v>
      </c>
      <c r="C213" s="41">
        <v>15</v>
      </c>
      <c r="D213" s="41"/>
      <c r="E213" s="513"/>
      <c r="F213" s="41"/>
      <c r="G213" s="38"/>
      <c r="H213" s="514"/>
      <c r="I213" s="515"/>
      <c r="J213" s="510"/>
      <c r="K213" s="511"/>
      <c r="L213" s="237" t="s">
        <v>16</v>
      </c>
      <c r="M213" s="556">
        <f>C213</f>
        <v>15</v>
      </c>
    </row>
    <row r="214" spans="2:13" ht="14.4" x14ac:dyDescent="0.3">
      <c r="B214" s="137" t="s">
        <v>515</v>
      </c>
      <c r="C214" s="41">
        <v>6</v>
      </c>
      <c r="D214" s="41"/>
      <c r="E214" s="513"/>
      <c r="F214" s="41"/>
      <c r="G214" s="38"/>
      <c r="H214" s="514"/>
      <c r="I214" s="515"/>
      <c r="J214" s="510"/>
      <c r="K214" s="511"/>
      <c r="L214" s="237" t="s">
        <v>16</v>
      </c>
      <c r="M214" s="556">
        <f t="shared" ref="M214:M251" si="43">C214</f>
        <v>6</v>
      </c>
    </row>
    <row r="215" spans="2:13" ht="14.4" x14ac:dyDescent="0.3">
      <c r="B215" s="137" t="s">
        <v>514</v>
      </c>
      <c r="C215" s="41">
        <v>16</v>
      </c>
      <c r="D215" s="41"/>
      <c r="E215" s="513"/>
      <c r="F215" s="41"/>
      <c r="G215" s="38"/>
      <c r="H215" s="514"/>
      <c r="I215" s="515"/>
      <c r="J215" s="510"/>
      <c r="K215" s="511"/>
      <c r="L215" s="237" t="s">
        <v>16</v>
      </c>
      <c r="M215" s="556">
        <f t="shared" si="43"/>
        <v>16</v>
      </c>
    </row>
    <row r="216" spans="2:13" ht="14.4" x14ac:dyDescent="0.3">
      <c r="B216" s="137" t="s">
        <v>517</v>
      </c>
      <c r="C216" s="41">
        <v>12</v>
      </c>
      <c r="D216" s="41"/>
      <c r="E216" s="513"/>
      <c r="F216" s="41"/>
      <c r="G216" s="38"/>
      <c r="H216" s="514"/>
      <c r="I216" s="515"/>
      <c r="J216" s="510"/>
      <c r="K216" s="511"/>
      <c r="L216" s="237" t="s">
        <v>16</v>
      </c>
      <c r="M216" s="556">
        <f t="shared" si="43"/>
        <v>12</v>
      </c>
    </row>
    <row r="217" spans="2:13" ht="14.4" x14ac:dyDescent="0.3">
      <c r="B217" s="537" t="s">
        <v>519</v>
      </c>
      <c r="C217" s="41"/>
      <c r="D217" s="41"/>
      <c r="E217" s="513"/>
      <c r="F217" s="41"/>
      <c r="G217" s="38"/>
      <c r="H217" s="514"/>
      <c r="I217" s="515"/>
      <c r="J217" s="510"/>
      <c r="K217" s="511"/>
      <c r="L217" s="237"/>
      <c r="M217" s="556"/>
    </row>
    <row r="218" spans="2:13" ht="14.4" x14ac:dyDescent="0.3">
      <c r="B218" s="137" t="s">
        <v>520</v>
      </c>
      <c r="C218" s="41">
        <v>20</v>
      </c>
      <c r="D218" s="41"/>
      <c r="E218" s="513"/>
      <c r="F218" s="41"/>
      <c r="G218" s="38"/>
      <c r="H218" s="514"/>
      <c r="I218" s="515"/>
      <c r="J218" s="510"/>
      <c r="K218" s="511"/>
      <c r="L218" s="237" t="s">
        <v>16</v>
      </c>
      <c r="M218" s="556">
        <f t="shared" si="43"/>
        <v>20</v>
      </c>
    </row>
    <row r="219" spans="2:13" ht="14.4" x14ac:dyDescent="0.3">
      <c r="B219" s="137" t="s">
        <v>521</v>
      </c>
      <c r="C219" s="41">
        <v>25</v>
      </c>
      <c r="D219" s="41"/>
      <c r="E219" s="513"/>
      <c r="F219" s="41"/>
      <c r="G219" s="38"/>
      <c r="H219" s="514"/>
      <c r="I219" s="515"/>
      <c r="J219" s="510"/>
      <c r="K219" s="511"/>
      <c r="L219" s="237" t="s">
        <v>16</v>
      </c>
      <c r="M219" s="556">
        <f t="shared" si="43"/>
        <v>25</v>
      </c>
    </row>
    <row r="220" spans="2:13" ht="14.4" x14ac:dyDescent="0.3">
      <c r="B220" s="137" t="s">
        <v>522</v>
      </c>
      <c r="C220" s="41">
        <v>26</v>
      </c>
      <c r="D220" s="41"/>
      <c r="E220" s="513"/>
      <c r="F220" s="41"/>
      <c r="G220" s="38"/>
      <c r="H220" s="514"/>
      <c r="I220" s="515"/>
      <c r="J220" s="510"/>
      <c r="K220" s="511"/>
      <c r="L220" s="237" t="s">
        <v>16</v>
      </c>
      <c r="M220" s="556">
        <f t="shared" si="43"/>
        <v>26</v>
      </c>
    </row>
    <row r="221" spans="2:13" ht="14.4" x14ac:dyDescent="0.3">
      <c r="B221" s="537" t="s">
        <v>523</v>
      </c>
      <c r="C221" s="41"/>
      <c r="D221" s="41"/>
      <c r="E221" s="513"/>
      <c r="F221" s="41"/>
      <c r="G221" s="38"/>
      <c r="H221" s="514"/>
      <c r="I221" s="515"/>
      <c r="J221" s="510"/>
      <c r="K221" s="511"/>
      <c r="L221" s="237"/>
      <c r="M221" s="556"/>
    </row>
    <row r="222" spans="2:13" ht="14.4" x14ac:dyDescent="0.3">
      <c r="B222" s="137" t="s">
        <v>524</v>
      </c>
      <c r="C222" s="41">
        <v>32</v>
      </c>
      <c r="D222" s="41"/>
      <c r="E222" s="513"/>
      <c r="F222" s="41"/>
      <c r="G222" s="38"/>
      <c r="H222" s="514"/>
      <c r="I222" s="515"/>
      <c r="J222" s="510"/>
      <c r="K222" s="511"/>
      <c r="L222" s="237" t="s">
        <v>16</v>
      </c>
      <c r="M222" s="556">
        <f t="shared" si="43"/>
        <v>32</v>
      </c>
    </row>
    <row r="223" spans="2:13" ht="14.4" x14ac:dyDescent="0.3">
      <c r="B223" s="137" t="s">
        <v>525</v>
      </c>
      <c r="C223" s="41">
        <v>24</v>
      </c>
      <c r="D223" s="41"/>
      <c r="E223" s="513"/>
      <c r="F223" s="41"/>
      <c r="G223" s="38"/>
      <c r="H223" s="514"/>
      <c r="I223" s="515"/>
      <c r="J223" s="510"/>
      <c r="K223" s="511"/>
      <c r="L223" s="237" t="s">
        <v>16</v>
      </c>
      <c r="M223" s="556">
        <f t="shared" si="43"/>
        <v>24</v>
      </c>
    </row>
    <row r="224" spans="2:13" ht="14.4" x14ac:dyDescent="0.3">
      <c r="B224" s="137" t="s">
        <v>526</v>
      </c>
      <c r="C224" s="41">
        <v>23</v>
      </c>
      <c r="D224" s="41"/>
      <c r="E224" s="513"/>
      <c r="F224" s="41"/>
      <c r="G224" s="38"/>
      <c r="H224" s="514"/>
      <c r="I224" s="515"/>
      <c r="J224" s="510"/>
      <c r="K224" s="511"/>
      <c r="L224" s="237" t="s">
        <v>16</v>
      </c>
      <c r="M224" s="556">
        <f t="shared" si="43"/>
        <v>23</v>
      </c>
    </row>
    <row r="225" spans="2:13" ht="14.4" x14ac:dyDescent="0.3">
      <c r="B225" s="137" t="s">
        <v>527</v>
      </c>
      <c r="C225" s="41">
        <v>11</v>
      </c>
      <c r="D225" s="41"/>
      <c r="E225" s="513"/>
      <c r="F225" s="41"/>
      <c r="G225" s="38"/>
      <c r="H225" s="514"/>
      <c r="I225" s="515"/>
      <c r="J225" s="510"/>
      <c r="K225" s="511"/>
      <c r="L225" s="237" t="s">
        <v>16</v>
      </c>
      <c r="M225" s="556">
        <f t="shared" si="43"/>
        <v>11</v>
      </c>
    </row>
    <row r="226" spans="2:13" ht="14.4" x14ac:dyDescent="0.3">
      <c r="B226" s="537" t="s">
        <v>528</v>
      </c>
      <c r="C226" s="41"/>
      <c r="D226" s="41"/>
      <c r="E226" s="513"/>
      <c r="F226" s="41"/>
      <c r="G226" s="38"/>
      <c r="H226" s="514"/>
      <c r="I226" s="515"/>
      <c r="J226" s="510"/>
      <c r="K226" s="511"/>
      <c r="L226" s="237"/>
      <c r="M226" s="556"/>
    </row>
    <row r="227" spans="2:13" ht="14.4" x14ac:dyDescent="0.3">
      <c r="B227" s="137" t="s">
        <v>534</v>
      </c>
      <c r="C227" s="41">
        <v>525</v>
      </c>
      <c r="D227" s="41"/>
      <c r="E227" s="513"/>
      <c r="F227" s="41"/>
      <c r="G227" s="38"/>
      <c r="H227" s="514"/>
      <c r="I227" s="515"/>
      <c r="J227" s="510"/>
      <c r="K227" s="511"/>
      <c r="L227" s="237" t="s">
        <v>16</v>
      </c>
      <c r="M227" s="556">
        <f t="shared" si="43"/>
        <v>525</v>
      </c>
    </row>
    <row r="228" spans="2:13" ht="14.4" x14ac:dyDescent="0.3">
      <c r="B228" s="137" t="s">
        <v>529</v>
      </c>
      <c r="C228" s="41">
        <v>550</v>
      </c>
      <c r="D228" s="41"/>
      <c r="E228" s="513"/>
      <c r="F228" s="41"/>
      <c r="G228" s="38"/>
      <c r="H228" s="514"/>
      <c r="I228" s="515"/>
      <c r="J228" s="510"/>
      <c r="K228" s="511"/>
      <c r="L228" s="237" t="s">
        <v>3</v>
      </c>
      <c r="M228" s="556">
        <f t="shared" si="43"/>
        <v>550</v>
      </c>
    </row>
    <row r="229" spans="2:13" ht="14.4" x14ac:dyDescent="0.3">
      <c r="B229" s="137" t="s">
        <v>530</v>
      </c>
      <c r="C229" s="41">
        <v>1500</v>
      </c>
      <c r="D229" s="41"/>
      <c r="E229" s="513"/>
      <c r="F229" s="41"/>
      <c r="G229" s="38"/>
      <c r="H229" s="514"/>
      <c r="I229" s="515"/>
      <c r="J229" s="510"/>
      <c r="K229" s="511"/>
      <c r="L229" s="237" t="s">
        <v>16</v>
      </c>
      <c r="M229" s="556">
        <f t="shared" si="43"/>
        <v>1500</v>
      </c>
    </row>
    <row r="230" spans="2:13" ht="14.4" x14ac:dyDescent="0.3">
      <c r="B230" s="137" t="s">
        <v>531</v>
      </c>
      <c r="C230" s="41">
        <v>875</v>
      </c>
      <c r="D230" s="41"/>
      <c r="E230" s="513"/>
      <c r="F230" s="41"/>
      <c r="G230" s="38"/>
      <c r="H230" s="514"/>
      <c r="I230" s="515"/>
      <c r="J230" s="510"/>
      <c r="K230" s="511"/>
      <c r="L230" s="237" t="s">
        <v>16</v>
      </c>
      <c r="M230" s="556">
        <f t="shared" si="43"/>
        <v>875</v>
      </c>
    </row>
    <row r="231" spans="2:13" ht="57.6" x14ac:dyDescent="0.3">
      <c r="B231" s="281" t="s">
        <v>559</v>
      </c>
      <c r="C231" s="35"/>
      <c r="D231" s="35">
        <f>20.15+5.5+50.01</f>
        <v>75.66</v>
      </c>
      <c r="E231" s="509"/>
      <c r="F231" s="35">
        <v>3</v>
      </c>
      <c r="G231" s="32"/>
      <c r="H231" s="253">
        <v>1</v>
      </c>
      <c r="I231" s="510"/>
      <c r="J231" s="510"/>
      <c r="K231" s="511"/>
      <c r="L231" s="237" t="s">
        <v>3</v>
      </c>
      <c r="M231" s="556">
        <f>H231*F231*D231</f>
        <v>226.98</v>
      </c>
    </row>
    <row r="232" spans="2:13" ht="14.4" x14ac:dyDescent="0.3">
      <c r="B232" s="7"/>
      <c r="C232" s="35"/>
      <c r="D232" s="35"/>
      <c r="E232" s="509"/>
      <c r="F232" s="35"/>
      <c r="G232" s="32"/>
      <c r="H232" s="253"/>
      <c r="I232" s="510"/>
      <c r="J232" s="510"/>
      <c r="K232" s="511"/>
      <c r="L232" s="237"/>
      <c r="M232" s="556"/>
    </row>
    <row r="233" spans="2:13" ht="14.4" x14ac:dyDescent="0.3">
      <c r="B233" s="7"/>
      <c r="C233" s="35"/>
      <c r="D233" s="35"/>
      <c r="E233" s="509"/>
      <c r="F233" s="35"/>
      <c r="G233" s="32"/>
      <c r="H233" s="253"/>
      <c r="I233" s="510"/>
      <c r="J233" s="510"/>
      <c r="K233" s="511"/>
      <c r="L233" s="237"/>
      <c r="M233" s="556"/>
    </row>
    <row r="234" spans="2:13" ht="14.4" x14ac:dyDescent="0.3">
      <c r="B234" s="7"/>
      <c r="C234" s="35"/>
      <c r="D234" s="35"/>
      <c r="E234" s="509"/>
      <c r="F234" s="35"/>
      <c r="G234" s="32"/>
      <c r="H234" s="253"/>
      <c r="I234" s="510"/>
      <c r="J234" s="510"/>
      <c r="K234" s="253"/>
      <c r="L234" s="239"/>
      <c r="M234" s="556"/>
    </row>
    <row r="235" spans="2:13" ht="14.4" x14ac:dyDescent="0.3">
      <c r="B235" s="565" t="s">
        <v>532</v>
      </c>
      <c r="C235" s="63"/>
      <c r="D235" s="63"/>
      <c r="E235" s="518"/>
      <c r="F235" s="63"/>
      <c r="G235" s="518"/>
      <c r="H235" s="63"/>
      <c r="I235" s="518"/>
      <c r="J235" s="63"/>
      <c r="K235" s="146"/>
      <c r="L235" s="564"/>
      <c r="M235" s="556"/>
    </row>
    <row r="236" spans="2:13" ht="14.4" x14ac:dyDescent="0.3">
      <c r="B236" s="537" t="s">
        <v>518</v>
      </c>
      <c r="C236" s="41"/>
      <c r="D236" s="41"/>
      <c r="E236" s="513"/>
      <c r="F236" s="41"/>
      <c r="G236" s="513"/>
      <c r="H236" s="41"/>
      <c r="I236" s="513"/>
      <c r="J236" s="41"/>
      <c r="K236" s="41"/>
      <c r="L236" s="513"/>
      <c r="M236" s="556"/>
    </row>
    <row r="237" spans="2:13" ht="14.4" x14ac:dyDescent="0.3">
      <c r="B237" s="137" t="s">
        <v>514</v>
      </c>
      <c r="C237" s="41">
        <v>3</v>
      </c>
      <c r="D237" s="41"/>
      <c r="E237" s="513"/>
      <c r="F237" s="41"/>
      <c r="G237" s="38"/>
      <c r="H237" s="514"/>
      <c r="I237" s="515"/>
      <c r="J237" s="510"/>
      <c r="K237" s="511"/>
      <c r="L237" s="237" t="s">
        <v>16</v>
      </c>
      <c r="M237" s="556">
        <f t="shared" si="43"/>
        <v>3</v>
      </c>
    </row>
    <row r="238" spans="2:13" ht="14.4" x14ac:dyDescent="0.3">
      <c r="B238" s="137" t="s">
        <v>515</v>
      </c>
      <c r="C238" s="41">
        <v>2</v>
      </c>
      <c r="D238" s="41"/>
      <c r="E238" s="513"/>
      <c r="F238" s="41"/>
      <c r="G238" s="38"/>
      <c r="H238" s="514"/>
      <c r="I238" s="515"/>
      <c r="J238" s="510"/>
      <c r="K238" s="511"/>
      <c r="L238" s="237" t="s">
        <v>16</v>
      </c>
      <c r="M238" s="556">
        <f t="shared" si="43"/>
        <v>2</v>
      </c>
    </row>
    <row r="239" spans="2:13" ht="14.4" x14ac:dyDescent="0.3">
      <c r="B239" s="537" t="s">
        <v>519</v>
      </c>
      <c r="C239" s="41"/>
      <c r="D239" s="41"/>
      <c r="E239" s="513"/>
      <c r="F239" s="41"/>
      <c r="G239" s="38"/>
      <c r="H239" s="514"/>
      <c r="I239" s="515"/>
      <c r="J239" s="510"/>
      <c r="K239" s="511"/>
      <c r="L239" s="237"/>
      <c r="M239" s="556"/>
    </row>
    <row r="240" spans="2:13" ht="14.4" x14ac:dyDescent="0.3">
      <c r="B240" s="137" t="s">
        <v>520</v>
      </c>
      <c r="C240" s="41">
        <v>8</v>
      </c>
      <c r="D240" s="41"/>
      <c r="E240" s="513"/>
      <c r="F240" s="41"/>
      <c r="G240" s="38"/>
      <c r="H240" s="514"/>
      <c r="I240" s="515"/>
      <c r="J240" s="510"/>
      <c r="K240" s="511"/>
      <c r="L240" s="237" t="s">
        <v>16</v>
      </c>
      <c r="M240" s="556">
        <f t="shared" si="43"/>
        <v>8</v>
      </c>
    </row>
    <row r="241" spans="2:13" ht="14.4" x14ac:dyDescent="0.3">
      <c r="B241" s="537" t="s">
        <v>523</v>
      </c>
      <c r="C241" s="41"/>
      <c r="D241" s="41"/>
      <c r="E241" s="513"/>
      <c r="F241" s="41"/>
      <c r="G241" s="38"/>
      <c r="H241" s="514"/>
      <c r="I241" s="515"/>
      <c r="J241" s="510"/>
      <c r="K241" s="511"/>
      <c r="L241" s="237"/>
      <c r="M241" s="556"/>
    </row>
    <row r="242" spans="2:13" ht="14.4" x14ac:dyDescent="0.3">
      <c r="B242" s="137" t="s">
        <v>533</v>
      </c>
      <c r="C242" s="41">
        <v>179</v>
      </c>
      <c r="D242" s="41"/>
      <c r="E242" s="513"/>
      <c r="F242" s="41"/>
      <c r="G242" s="38"/>
      <c r="H242" s="514"/>
      <c r="I242" s="515"/>
      <c r="J242" s="510"/>
      <c r="K242" s="511"/>
      <c r="L242" s="237" t="s">
        <v>16</v>
      </c>
      <c r="M242" s="556">
        <f t="shared" si="43"/>
        <v>179</v>
      </c>
    </row>
    <row r="243" spans="2:13" ht="14.4" x14ac:dyDescent="0.3">
      <c r="B243" s="137" t="s">
        <v>516</v>
      </c>
      <c r="C243" s="41">
        <v>42</v>
      </c>
      <c r="D243" s="41"/>
      <c r="E243" s="513"/>
      <c r="F243" s="41"/>
      <c r="G243" s="38"/>
      <c r="H243" s="514"/>
      <c r="I243" s="515"/>
      <c r="J243" s="510"/>
      <c r="K243" s="511"/>
      <c r="L243" s="237" t="s">
        <v>16</v>
      </c>
      <c r="M243" s="556">
        <f t="shared" si="43"/>
        <v>42</v>
      </c>
    </row>
    <row r="244" spans="2:13" ht="14.4" x14ac:dyDescent="0.3">
      <c r="B244" s="537" t="s">
        <v>528</v>
      </c>
      <c r="C244" s="41"/>
      <c r="D244" s="41"/>
      <c r="E244" s="513"/>
      <c r="F244" s="41"/>
      <c r="G244" s="38"/>
      <c r="H244" s="514"/>
      <c r="I244" s="515"/>
      <c r="J244" s="510"/>
      <c r="K244" s="511"/>
      <c r="L244" s="237"/>
      <c r="M244" s="556"/>
    </row>
    <row r="245" spans="2:13" ht="14.4" x14ac:dyDescent="0.3">
      <c r="B245" s="137" t="s">
        <v>534</v>
      </c>
      <c r="C245" s="41">
        <v>87</v>
      </c>
      <c r="D245" s="41"/>
      <c r="E245" s="513"/>
      <c r="F245" s="41"/>
      <c r="G245" s="38"/>
      <c r="H245" s="514"/>
      <c r="I245" s="515"/>
      <c r="J245" s="510"/>
      <c r="K245" s="511"/>
      <c r="L245" s="237" t="s">
        <v>16</v>
      </c>
      <c r="M245" s="556">
        <f t="shared" si="43"/>
        <v>87</v>
      </c>
    </row>
    <row r="246" spans="2:13" ht="14.4" x14ac:dyDescent="0.3">
      <c r="B246" s="137" t="s">
        <v>526</v>
      </c>
      <c r="C246" s="41">
        <v>50</v>
      </c>
      <c r="D246" s="41"/>
      <c r="E246" s="513"/>
      <c r="F246" s="41"/>
      <c r="G246" s="38"/>
      <c r="H246" s="514"/>
      <c r="I246" s="515"/>
      <c r="J246" s="510"/>
      <c r="K246" s="511"/>
      <c r="L246" s="237" t="s">
        <v>16</v>
      </c>
      <c r="M246" s="556">
        <f t="shared" si="43"/>
        <v>50</v>
      </c>
    </row>
    <row r="247" spans="2:13" ht="14.4" x14ac:dyDescent="0.3">
      <c r="B247" s="137" t="s">
        <v>536</v>
      </c>
      <c r="C247" s="41">
        <v>6</v>
      </c>
      <c r="D247" s="41"/>
      <c r="E247" s="513"/>
      <c r="F247" s="41"/>
      <c r="G247" s="38"/>
      <c r="H247" s="514"/>
      <c r="I247" s="515"/>
      <c r="J247" s="510"/>
      <c r="K247" s="511"/>
      <c r="L247" s="237" t="s">
        <v>3</v>
      </c>
      <c r="M247" s="556">
        <f t="shared" si="43"/>
        <v>6</v>
      </c>
    </row>
    <row r="248" spans="2:13" ht="14.4" x14ac:dyDescent="0.3">
      <c r="B248" s="137" t="s">
        <v>537</v>
      </c>
      <c r="C248" s="41">
        <v>6</v>
      </c>
      <c r="D248" s="41"/>
      <c r="E248" s="513"/>
      <c r="F248" s="41"/>
      <c r="G248" s="38"/>
      <c r="H248" s="514"/>
      <c r="I248" s="515"/>
      <c r="J248" s="510"/>
      <c r="K248" s="511"/>
      <c r="L248" s="237" t="s">
        <v>3</v>
      </c>
      <c r="M248" s="556">
        <f t="shared" si="43"/>
        <v>6</v>
      </c>
    </row>
    <row r="249" spans="2:13" ht="14.4" x14ac:dyDescent="0.3">
      <c r="B249" s="137" t="s">
        <v>533</v>
      </c>
      <c r="C249" s="41">
        <v>4</v>
      </c>
      <c r="D249" s="41"/>
      <c r="E249" s="513"/>
      <c r="F249" s="41"/>
      <c r="G249" s="38"/>
      <c r="H249" s="514"/>
      <c r="I249" s="515"/>
      <c r="J249" s="510"/>
      <c r="K249" s="511"/>
      <c r="L249" s="237" t="s">
        <v>3</v>
      </c>
      <c r="M249" s="556">
        <f t="shared" si="43"/>
        <v>4</v>
      </c>
    </row>
    <row r="250" spans="2:13" ht="14.4" x14ac:dyDescent="0.3">
      <c r="B250" s="537" t="s">
        <v>535</v>
      </c>
      <c r="C250" s="41"/>
      <c r="D250" s="41"/>
      <c r="E250" s="513"/>
      <c r="F250" s="41"/>
      <c r="G250" s="38"/>
      <c r="H250" s="514"/>
      <c r="I250" s="515"/>
      <c r="J250" s="510"/>
      <c r="K250" s="511"/>
      <c r="L250" s="237"/>
      <c r="M250" s="556"/>
    </row>
    <row r="251" spans="2:13" ht="14.4" x14ac:dyDescent="0.3">
      <c r="B251" s="137" t="s">
        <v>527</v>
      </c>
      <c r="C251" s="41">
        <v>7</v>
      </c>
      <c r="D251" s="41"/>
      <c r="E251" s="513"/>
      <c r="F251" s="41"/>
      <c r="G251" s="38"/>
      <c r="H251" s="514"/>
      <c r="I251" s="515"/>
      <c r="J251" s="510"/>
      <c r="K251" s="511"/>
      <c r="L251" s="237" t="s">
        <v>16</v>
      </c>
      <c r="M251" s="556">
        <f t="shared" si="43"/>
        <v>7</v>
      </c>
    </row>
    <row r="252" spans="2:13" ht="14.4" x14ac:dyDescent="0.3">
      <c r="B252" s="517" t="s">
        <v>538</v>
      </c>
      <c r="C252" s="63"/>
      <c r="D252" s="63"/>
      <c r="E252" s="518"/>
      <c r="F252" s="63"/>
      <c r="G252" s="518"/>
      <c r="H252" s="63"/>
      <c r="I252" s="518"/>
      <c r="J252" s="63"/>
      <c r="K252" s="146"/>
      <c r="L252" s="564"/>
      <c r="M252" s="146"/>
    </row>
    <row r="253" spans="2:13" ht="14.4" x14ac:dyDescent="0.3">
      <c r="B253" s="537" t="s">
        <v>518</v>
      </c>
      <c r="C253" s="41"/>
      <c r="D253" s="41"/>
      <c r="E253" s="513"/>
      <c r="F253" s="41"/>
      <c r="G253" s="513"/>
      <c r="H253" s="41"/>
      <c r="I253" s="513"/>
      <c r="J253" s="41"/>
      <c r="K253" s="41"/>
      <c r="L253" s="513"/>
      <c r="M253" s="41"/>
    </row>
    <row r="254" spans="2:13" ht="14.4" x14ac:dyDescent="0.3">
      <c r="B254" s="137" t="s">
        <v>514</v>
      </c>
      <c r="C254" s="41">
        <v>8</v>
      </c>
      <c r="D254" s="41"/>
      <c r="E254" s="513"/>
      <c r="F254" s="41"/>
      <c r="G254" s="38"/>
      <c r="H254" s="514"/>
      <c r="I254" s="515"/>
      <c r="J254" s="510"/>
      <c r="K254" s="511"/>
      <c r="L254" s="237" t="s">
        <v>16</v>
      </c>
      <c r="M254" s="556">
        <f>C254</f>
        <v>8</v>
      </c>
    </row>
    <row r="255" spans="2:13" ht="14.4" x14ac:dyDescent="0.3">
      <c r="B255" s="137" t="s">
        <v>539</v>
      </c>
      <c r="C255" s="41">
        <v>3</v>
      </c>
      <c r="D255" s="41"/>
      <c r="E255" s="513"/>
      <c r="F255" s="41"/>
      <c r="G255" s="38"/>
      <c r="H255" s="514"/>
      <c r="I255" s="515"/>
      <c r="J255" s="510"/>
      <c r="K255" s="511"/>
      <c r="L255" s="237" t="s">
        <v>16</v>
      </c>
      <c r="M255" s="556">
        <f t="shared" ref="M255:M266" si="44">C255</f>
        <v>3</v>
      </c>
    </row>
    <row r="256" spans="2:13" ht="14.4" x14ac:dyDescent="0.3">
      <c r="B256" s="537" t="s">
        <v>519</v>
      </c>
      <c r="C256" s="41"/>
      <c r="D256" s="41"/>
      <c r="E256" s="513"/>
      <c r="F256" s="41"/>
      <c r="G256" s="38"/>
      <c r="H256" s="514"/>
      <c r="I256" s="515"/>
      <c r="J256" s="510"/>
      <c r="K256" s="511"/>
      <c r="L256" s="237"/>
      <c r="M256" s="556"/>
    </row>
    <row r="257" spans="2:13" ht="14.4" x14ac:dyDescent="0.3">
      <c r="B257" s="137" t="s">
        <v>520</v>
      </c>
      <c r="C257" s="41">
        <v>12</v>
      </c>
      <c r="D257" s="41"/>
      <c r="E257" s="513"/>
      <c r="F257" s="41"/>
      <c r="G257" s="38"/>
      <c r="H257" s="514"/>
      <c r="I257" s="515"/>
      <c r="J257" s="510"/>
      <c r="K257" s="511"/>
      <c r="L257" s="237" t="s">
        <v>16</v>
      </c>
      <c r="M257" s="556">
        <f t="shared" si="44"/>
        <v>12</v>
      </c>
    </row>
    <row r="258" spans="2:13" ht="14.4" x14ac:dyDescent="0.3">
      <c r="B258" s="537" t="s">
        <v>523</v>
      </c>
      <c r="C258" s="41"/>
      <c r="D258" s="41"/>
      <c r="E258" s="513"/>
      <c r="F258" s="41"/>
      <c r="G258" s="38"/>
      <c r="H258" s="514"/>
      <c r="I258" s="515"/>
      <c r="J258" s="510"/>
      <c r="K258" s="511"/>
      <c r="L258" s="237"/>
      <c r="M258" s="556"/>
    </row>
    <row r="259" spans="2:13" ht="14.4" x14ac:dyDescent="0.3">
      <c r="B259" s="137" t="s">
        <v>540</v>
      </c>
      <c r="C259" s="41">
        <v>9</v>
      </c>
      <c r="D259" s="41"/>
      <c r="E259" s="513"/>
      <c r="F259" s="41"/>
      <c r="G259" s="38"/>
      <c r="H259" s="514"/>
      <c r="I259" s="515"/>
      <c r="J259" s="510"/>
      <c r="K259" s="511"/>
      <c r="L259" s="237" t="s">
        <v>16</v>
      </c>
      <c r="M259" s="556">
        <f t="shared" si="44"/>
        <v>9</v>
      </c>
    </row>
    <row r="260" spans="2:13" ht="14.4" x14ac:dyDescent="0.3">
      <c r="B260" s="137" t="s">
        <v>541</v>
      </c>
      <c r="C260" s="41">
        <v>3</v>
      </c>
      <c r="D260" s="41"/>
      <c r="E260" s="513"/>
      <c r="F260" s="41"/>
      <c r="G260" s="38"/>
      <c r="H260" s="514"/>
      <c r="I260" s="515"/>
      <c r="J260" s="510"/>
      <c r="K260" s="511"/>
      <c r="L260" s="237"/>
      <c r="M260" s="556">
        <f t="shared" si="44"/>
        <v>3</v>
      </c>
    </row>
    <row r="261" spans="2:13" ht="14.4" x14ac:dyDescent="0.3">
      <c r="B261" s="137" t="s">
        <v>542</v>
      </c>
      <c r="C261" s="41">
        <v>2</v>
      </c>
      <c r="D261" s="41"/>
      <c r="E261" s="513"/>
      <c r="F261" s="41"/>
      <c r="G261" s="38"/>
      <c r="H261" s="514"/>
      <c r="I261" s="515"/>
      <c r="J261" s="510"/>
      <c r="K261" s="511"/>
      <c r="L261" s="237"/>
      <c r="M261" s="556">
        <f t="shared" si="44"/>
        <v>2</v>
      </c>
    </row>
    <row r="262" spans="2:13" ht="14.4" x14ac:dyDescent="0.3">
      <c r="B262" s="137" t="s">
        <v>543</v>
      </c>
      <c r="C262" s="41">
        <v>40</v>
      </c>
      <c r="D262" s="41"/>
      <c r="E262" s="513"/>
      <c r="F262" s="41"/>
      <c r="G262" s="38"/>
      <c r="H262" s="514"/>
      <c r="I262" s="515"/>
      <c r="J262" s="510"/>
      <c r="K262" s="511"/>
      <c r="L262" s="237" t="s">
        <v>16</v>
      </c>
      <c r="M262" s="556">
        <f t="shared" si="44"/>
        <v>40</v>
      </c>
    </row>
    <row r="263" spans="2:13" ht="14.4" x14ac:dyDescent="0.3">
      <c r="B263" s="537" t="s">
        <v>528</v>
      </c>
      <c r="C263" s="41"/>
      <c r="D263" s="41"/>
      <c r="E263" s="513"/>
      <c r="F263" s="41"/>
      <c r="G263" s="38"/>
      <c r="H263" s="514"/>
      <c r="I263" s="515"/>
      <c r="J263" s="510"/>
      <c r="K263" s="511"/>
      <c r="L263" s="237"/>
      <c r="M263" s="556"/>
    </row>
    <row r="264" spans="2:13" ht="14.4" x14ac:dyDescent="0.3">
      <c r="B264" s="137" t="s">
        <v>536</v>
      </c>
      <c r="C264" s="41">
        <v>250</v>
      </c>
      <c r="D264" s="41"/>
      <c r="E264" s="513"/>
      <c r="F264" s="41"/>
      <c r="G264" s="38"/>
      <c r="H264" s="514"/>
      <c r="I264" s="515"/>
      <c r="J264" s="510"/>
      <c r="K264" s="511"/>
      <c r="L264" s="237" t="s">
        <v>3</v>
      </c>
      <c r="M264" s="556">
        <f t="shared" si="44"/>
        <v>250</v>
      </c>
    </row>
    <row r="265" spans="2:13" ht="14.4" x14ac:dyDescent="0.3">
      <c r="B265" s="537" t="s">
        <v>535</v>
      </c>
      <c r="C265" s="41"/>
      <c r="D265" s="41"/>
      <c r="E265" s="513"/>
      <c r="F265" s="41"/>
      <c r="G265" s="38"/>
      <c r="H265" s="514"/>
      <c r="I265" s="515"/>
      <c r="J265" s="510"/>
      <c r="K265" s="511"/>
      <c r="L265" s="237"/>
      <c r="M265" s="556"/>
    </row>
    <row r="266" spans="2:13" ht="14.4" x14ac:dyDescent="0.3">
      <c r="B266" s="137" t="s">
        <v>526</v>
      </c>
      <c r="C266" s="41">
        <v>50</v>
      </c>
      <c r="D266" s="41"/>
      <c r="E266" s="513"/>
      <c r="F266" s="41"/>
      <c r="G266" s="38"/>
      <c r="H266" s="514"/>
      <c r="I266" s="515"/>
      <c r="J266" s="510"/>
      <c r="K266" s="270"/>
      <c r="L266" s="239" t="s">
        <v>16</v>
      </c>
      <c r="M266" s="556">
        <f t="shared" si="44"/>
        <v>50</v>
      </c>
    </row>
    <row r="267" spans="2:13" ht="14.4" x14ac:dyDescent="0.3">
      <c r="B267" s="517" t="s">
        <v>544</v>
      </c>
      <c r="C267" s="63"/>
      <c r="D267" s="63"/>
      <c r="E267" s="518"/>
      <c r="F267" s="63"/>
      <c r="G267" s="518"/>
      <c r="H267" s="63"/>
      <c r="I267" s="518"/>
      <c r="J267" s="63"/>
      <c r="K267" s="146"/>
      <c r="L267" s="564"/>
      <c r="M267" s="146"/>
    </row>
    <row r="268" spans="2:13" ht="14.4" x14ac:dyDescent="0.3">
      <c r="B268" s="537"/>
      <c r="C268" s="41"/>
      <c r="D268" s="41"/>
      <c r="E268" s="513"/>
      <c r="F268" s="41"/>
      <c r="G268" s="513"/>
      <c r="H268" s="41"/>
      <c r="I268" s="513"/>
      <c r="J268" s="41"/>
      <c r="K268" s="41"/>
      <c r="L268" s="513"/>
      <c r="M268" s="41"/>
    </row>
    <row r="269" spans="2:13" ht="14.4" x14ac:dyDescent="0.3">
      <c r="B269" s="137" t="s">
        <v>482</v>
      </c>
      <c r="C269" s="41"/>
      <c r="D269" s="41"/>
      <c r="E269" s="513"/>
      <c r="F269" s="35"/>
      <c r="G269" s="38">
        <v>1</v>
      </c>
      <c r="H269" s="514">
        <f>132.74+103.39</f>
        <v>236.13</v>
      </c>
      <c r="I269" s="515"/>
      <c r="J269" s="510"/>
      <c r="K269" s="511"/>
      <c r="L269" s="237" t="s">
        <v>3</v>
      </c>
      <c r="M269" s="556">
        <f>H269*G269</f>
        <v>236.13</v>
      </c>
    </row>
    <row r="270" spans="2:13" ht="14.4" x14ac:dyDescent="0.3">
      <c r="B270" s="137"/>
      <c r="C270" s="41"/>
      <c r="D270" s="41"/>
      <c r="E270" s="513"/>
      <c r="F270" s="35"/>
      <c r="G270" s="38"/>
      <c r="H270" s="514"/>
      <c r="I270" s="515"/>
      <c r="J270" s="510"/>
      <c r="K270" s="511"/>
      <c r="L270" s="146"/>
      <c r="M270" s="512"/>
    </row>
    <row r="271" spans="2:13" ht="14.4" x14ac:dyDescent="0.3">
      <c r="B271" s="137" t="s">
        <v>545</v>
      </c>
      <c r="C271" s="41"/>
      <c r="D271" s="41"/>
      <c r="E271" s="513"/>
      <c r="F271" s="35"/>
      <c r="G271" s="38">
        <v>1</v>
      </c>
      <c r="H271" s="514">
        <v>132.74</v>
      </c>
      <c r="I271" s="515"/>
      <c r="J271" s="510"/>
      <c r="K271" s="511"/>
      <c r="L271" s="237" t="s">
        <v>3</v>
      </c>
      <c r="M271" s="556">
        <f>H271*G271</f>
        <v>132.74</v>
      </c>
    </row>
    <row r="272" spans="2:13" ht="14.4" x14ac:dyDescent="0.3">
      <c r="B272" s="137"/>
      <c r="C272" s="41"/>
      <c r="D272" s="41"/>
      <c r="E272" s="513"/>
      <c r="F272" s="35"/>
      <c r="G272" s="38"/>
      <c r="H272" s="514"/>
      <c r="I272" s="515"/>
      <c r="J272" s="510"/>
      <c r="K272" s="511"/>
      <c r="L272" s="146"/>
      <c r="M272" s="512"/>
    </row>
    <row r="273" spans="2:13" ht="14.4" x14ac:dyDescent="0.3">
      <c r="B273" s="137" t="s">
        <v>546</v>
      </c>
      <c r="C273" s="41"/>
      <c r="D273" s="41"/>
      <c r="E273" s="513"/>
      <c r="F273" s="35"/>
      <c r="G273" s="38">
        <v>1</v>
      </c>
      <c r="H273" s="514">
        <v>103.39</v>
      </c>
      <c r="I273" s="515"/>
      <c r="J273" s="510"/>
      <c r="K273" s="511"/>
      <c r="L273" s="237" t="s">
        <v>3</v>
      </c>
      <c r="M273" s="556">
        <f>H273*G273</f>
        <v>103.39</v>
      </c>
    </row>
    <row r="274" spans="2:13" ht="14.4" x14ac:dyDescent="0.3">
      <c r="B274" s="137"/>
      <c r="C274" s="41"/>
      <c r="D274" s="41"/>
      <c r="E274" s="513"/>
      <c r="F274" s="41"/>
      <c r="G274" s="38"/>
      <c r="H274" s="514"/>
      <c r="I274" s="515"/>
      <c r="J274" s="510"/>
      <c r="K274" s="511"/>
      <c r="L274" s="237"/>
      <c r="M274" s="556"/>
    </row>
    <row r="275" spans="2:13" ht="14.4" x14ac:dyDescent="0.3">
      <c r="B275" s="137"/>
      <c r="C275" s="41"/>
      <c r="D275" s="41"/>
      <c r="E275" s="513"/>
      <c r="F275" s="41"/>
      <c r="G275" s="38"/>
      <c r="H275" s="514"/>
      <c r="I275" s="515"/>
      <c r="J275" s="510"/>
      <c r="K275" s="511"/>
      <c r="L275" s="237"/>
      <c r="M275" s="556"/>
    </row>
    <row r="276" spans="2:13" ht="14.4" x14ac:dyDescent="0.3">
      <c r="B276" s="137"/>
      <c r="C276" s="41"/>
      <c r="D276" s="41"/>
      <c r="E276" s="513"/>
      <c r="F276" s="41"/>
      <c r="G276" s="38"/>
      <c r="H276" s="514"/>
      <c r="I276" s="515"/>
      <c r="J276" s="510"/>
      <c r="K276" s="511"/>
      <c r="L276" s="237"/>
      <c r="M276" s="556"/>
    </row>
    <row r="277" spans="2:13" ht="14.4" x14ac:dyDescent="0.3">
      <c r="B277" s="137"/>
      <c r="C277" s="41"/>
      <c r="D277" s="41"/>
      <c r="E277" s="513"/>
      <c r="F277" s="41"/>
      <c r="G277" s="38"/>
      <c r="H277" s="514"/>
      <c r="I277" s="515"/>
      <c r="J277" s="510"/>
      <c r="K277" s="511"/>
      <c r="L277" s="237"/>
      <c r="M277" s="556"/>
    </row>
    <row r="278" spans="2:13" ht="14.4" x14ac:dyDescent="0.3">
      <c r="B278" s="537"/>
      <c r="C278" s="41"/>
      <c r="D278" s="41"/>
      <c r="E278" s="513"/>
      <c r="F278" s="41"/>
      <c r="G278" s="38"/>
      <c r="H278" s="514"/>
      <c r="I278" s="515"/>
      <c r="J278" s="510"/>
      <c r="K278" s="511"/>
      <c r="L278" s="237"/>
      <c r="M278" s="556"/>
    </row>
    <row r="279" spans="2:13" ht="14.4" x14ac:dyDescent="0.3">
      <c r="B279" s="137"/>
      <c r="C279" s="41"/>
      <c r="D279" s="41"/>
      <c r="E279" s="513"/>
      <c r="F279" s="41"/>
      <c r="G279" s="38"/>
      <c r="H279" s="514"/>
      <c r="I279" s="515"/>
      <c r="J279" s="510"/>
      <c r="K279" s="511"/>
      <c r="L279" s="237"/>
      <c r="M279" s="556"/>
    </row>
    <row r="280" spans="2:13" ht="14.4" x14ac:dyDescent="0.3">
      <c r="B280" s="537"/>
      <c r="C280" s="41"/>
      <c r="D280" s="41"/>
      <c r="E280" s="513"/>
      <c r="F280" s="41"/>
      <c r="G280" s="38"/>
      <c r="H280" s="514"/>
      <c r="I280" s="515"/>
      <c r="J280" s="510"/>
      <c r="K280" s="511"/>
      <c r="L280" s="237"/>
      <c r="M280" s="556"/>
    </row>
    <row r="281" spans="2:13" ht="14.4" x14ac:dyDescent="0.3">
      <c r="B281" s="137"/>
      <c r="C281" s="41"/>
      <c r="D281" s="41"/>
      <c r="E281" s="513"/>
      <c r="F281" s="41"/>
      <c r="G281" s="38"/>
      <c r="H281" s="514"/>
      <c r="I281" s="515"/>
      <c r="J281" s="510"/>
      <c r="K281" s="270"/>
      <c r="L281" s="239"/>
      <c r="M281" s="563"/>
    </row>
  </sheetData>
  <mergeCells count="3">
    <mergeCell ref="B8:B9"/>
    <mergeCell ref="L8:L9"/>
    <mergeCell ref="M8:M9"/>
  </mergeCells>
  <dataValidations count="1">
    <dataValidation type="list" allowBlank="1" showInputMessage="1" showErrorMessage="1" sqref="H11 H8:H9" xr:uid="{962EE115-4F08-488A-8D9C-F0FC6F4EB2B1}">
      <formula1>"G,T,E,O"</formula1>
    </dataValidation>
  </dataValidations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DEMOLIÇÕES E RETIRADAS</vt:lpstr>
      <vt:lpstr>MOVIMENTOS DE TERRA</vt:lpstr>
      <vt:lpstr>CONTENÇÃO COMPLEM</vt:lpstr>
      <vt:lpstr>DRENAGEM</vt:lpstr>
      <vt:lpstr>MARQUISES BLOCO 1</vt:lpstr>
      <vt:lpstr>STEEL DECK</vt:lpstr>
      <vt:lpstr>CONCRETO MAGRO</vt:lpstr>
      <vt:lpstr>EST ELEVATÓRIA</vt:lpstr>
      <vt:lpstr>PAISAGISMO</vt:lpstr>
      <vt:lpstr>COMPLEMENTARES EST BL 01</vt:lpstr>
      <vt:lpstr>ENCHIM. PISO 1 PAV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DELL</cp:lastModifiedBy>
  <cp:lastPrinted>2024-07-22T12:23:25Z</cp:lastPrinted>
  <dcterms:created xsi:type="dcterms:W3CDTF">2009-01-12T00:47:26Z</dcterms:created>
  <dcterms:modified xsi:type="dcterms:W3CDTF">2024-10-01T19:36:20Z</dcterms:modified>
</cp:coreProperties>
</file>