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TRABALHOS MARIA TERESA\TRAB 2024\ICM 2\QUANT BLOCO 2 E 3 ARQ\"/>
    </mc:Choice>
  </mc:AlternateContent>
  <xr:revisionPtr revIDLastSave="0" documentId="13_ncr:1_{6B45FA0A-F727-4F9E-9F59-8B56FC30BB23}" xr6:coauthVersionLast="47" xr6:coauthVersionMax="47" xr10:uidLastSave="{00000000-0000-0000-0000-000000000000}"/>
  <bookViews>
    <workbookView xWindow="-108" yWindow="-108" windowWidth="23256" windowHeight="12456" tabRatio="780" firstSheet="1" activeTab="8" xr2:uid="{00000000-000D-0000-FFFF-FFFF00000000}"/>
  </bookViews>
  <sheets>
    <sheet name="PRELIMINARES" sheetId="37" r:id="rId1"/>
    <sheet name="ALVENARIAS" sheetId="14" r:id="rId2"/>
    <sheet name="DIVISÓRIAS" sheetId="34" r:id="rId3"/>
    <sheet name="REV. PAREDE" sheetId="12" r:id="rId4"/>
    <sheet name="PAVIMENTAÇÃO" sheetId="11" r:id="rId5"/>
    <sheet name="TETO" sheetId="13" r:id="rId6"/>
    <sheet name="ESCADA" sheetId="33" r:id="rId7"/>
    <sheet name="ESQUADRIAS" sheetId="21" r:id="rId8"/>
    <sheet name="COBERTA" sheetId="24" r:id="rId9"/>
    <sheet name="BANCADAS" sheetId="28" r:id="rId10"/>
    <sheet name="BATE MACAS" sheetId="29" r:id="rId11"/>
    <sheet name="METALURGIA" sheetId="31" r:id="rId12"/>
    <sheet name="CASA GERADORES" sheetId="3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5" i="24" l="1"/>
  <c r="L34" i="24"/>
  <c r="L33" i="24"/>
  <c r="L36" i="24" s="1"/>
  <c r="L421" i="11" l="1"/>
  <c r="I421" i="11"/>
  <c r="R424" i="11"/>
  <c r="R423" i="11"/>
  <c r="S163" i="11"/>
  <c r="S162" i="11"/>
  <c r="S156" i="11"/>
  <c r="S155" i="11"/>
  <c r="S154" i="11"/>
  <c r="S153" i="11"/>
  <c r="S152" i="11"/>
  <c r="S149" i="11"/>
  <c r="S148" i="11"/>
  <c r="S147" i="11"/>
  <c r="S145" i="11"/>
  <c r="S142" i="11"/>
  <c r="S138" i="11"/>
  <c r="S284" i="11"/>
  <c r="S283" i="11"/>
  <c r="S279" i="11"/>
  <c r="S278" i="11"/>
  <c r="S276" i="11"/>
  <c r="S275" i="11"/>
  <c r="S273" i="11"/>
  <c r="S271" i="11"/>
  <c r="S267" i="11"/>
  <c r="S266" i="11"/>
  <c r="S257" i="11"/>
  <c r="S250" i="11"/>
  <c r="S249" i="11"/>
  <c r="S247" i="11"/>
  <c r="S245" i="11"/>
  <c r="S244" i="11"/>
  <c r="S242" i="11"/>
  <c r="S361" i="11"/>
  <c r="S360" i="11"/>
  <c r="S359" i="11"/>
  <c r="S358" i="11"/>
  <c r="S357" i="11"/>
  <c r="S351" i="11"/>
  <c r="S350" i="11"/>
  <c r="S349" i="11"/>
  <c r="S346" i="11"/>
  <c r="S345" i="11"/>
  <c r="S344" i="11"/>
  <c r="S340" i="11"/>
  <c r="S338" i="11"/>
  <c r="S336" i="11"/>
  <c r="S335" i="11"/>
  <c r="S329" i="11"/>
  <c r="S324" i="11"/>
  <c r="S322" i="11"/>
  <c r="S316" i="11"/>
  <c r="S315" i="11"/>
  <c r="S314" i="11"/>
  <c r="S312" i="11"/>
  <c r="S305" i="11"/>
  <c r="S302" i="11"/>
  <c r="S481" i="11"/>
  <c r="S480" i="11"/>
  <c r="S479" i="11"/>
  <c r="S478" i="11"/>
  <c r="S473" i="11"/>
  <c r="S463" i="11"/>
  <c r="S457" i="11"/>
  <c r="S454" i="11"/>
  <c r="S453" i="11"/>
  <c r="S449" i="11"/>
  <c r="S448" i="11"/>
  <c r="S445" i="11"/>
  <c r="S444" i="11"/>
  <c r="S442" i="11"/>
  <c r="N20" i="37"/>
  <c r="N19" i="37"/>
  <c r="N18" i="37"/>
  <c r="N17" i="37"/>
  <c r="N16" i="37"/>
  <c r="N15" i="37"/>
  <c r="N14" i="37"/>
  <c r="N13" i="37"/>
  <c r="N22" i="37" s="1"/>
  <c r="N88" i="11"/>
  <c r="N228" i="11"/>
  <c r="N295" i="11"/>
  <c r="N363" i="11"/>
  <c r="N428" i="11"/>
  <c r="N483" i="11"/>
  <c r="N514" i="11"/>
  <c r="N526" i="11"/>
  <c r="I88" i="11" l="1"/>
  <c r="J88" i="11"/>
  <c r="K88" i="11"/>
  <c r="L88" i="11"/>
  <c r="M88" i="11"/>
  <c r="I167" i="11"/>
  <c r="J167" i="11"/>
  <c r="K167" i="11"/>
  <c r="L167" i="11"/>
  <c r="M167" i="11"/>
  <c r="I228" i="11"/>
  <c r="J228" i="11"/>
  <c r="K228" i="11"/>
  <c r="L228" i="11"/>
  <c r="M228" i="11"/>
  <c r="I295" i="11"/>
  <c r="K295" i="11"/>
  <c r="L295" i="11"/>
  <c r="M295" i="11"/>
  <c r="I363" i="11"/>
  <c r="J363" i="11"/>
  <c r="K363" i="11"/>
  <c r="M363" i="11"/>
  <c r="I428" i="11"/>
  <c r="J428" i="11"/>
  <c r="K428" i="11"/>
  <c r="L428" i="11"/>
  <c r="I483" i="11"/>
  <c r="J483" i="11"/>
  <c r="K483" i="11"/>
  <c r="M483" i="11"/>
  <c r="I514" i="11"/>
  <c r="J514" i="11"/>
  <c r="K514" i="11"/>
  <c r="L514" i="11"/>
  <c r="M514" i="11"/>
  <c r="I526" i="11"/>
  <c r="J526" i="11"/>
  <c r="K526" i="11"/>
  <c r="L526" i="11"/>
  <c r="M526" i="11"/>
  <c r="I529" i="11" l="1"/>
  <c r="K529" i="11"/>
  <c r="D754" i="12" l="1"/>
  <c r="C756" i="12"/>
  <c r="K756" i="12" s="1"/>
  <c r="K761" i="12" s="1"/>
  <c r="K753" i="12"/>
  <c r="D751" i="12"/>
  <c r="C753" i="12"/>
  <c r="K750" i="12"/>
  <c r="D748" i="12"/>
  <c r="C750" i="12"/>
  <c r="C759" i="12"/>
  <c r="K759" i="12" s="1"/>
  <c r="D758" i="12"/>
  <c r="D757" i="12"/>
  <c r="D711" i="12"/>
  <c r="C713" i="12"/>
  <c r="D613" i="12"/>
  <c r="C615" i="12"/>
  <c r="K615" i="12" s="1"/>
  <c r="C665" i="12"/>
  <c r="K665" i="12" s="1"/>
  <c r="D660" i="12"/>
  <c r="C662" i="12"/>
  <c r="K662" i="12" s="1"/>
  <c r="D657" i="12"/>
  <c r="C659" i="12"/>
  <c r="K659" i="12" s="1"/>
  <c r="D624" i="12"/>
  <c r="C626" i="12"/>
  <c r="K626" i="12" s="1"/>
  <c r="D620" i="12"/>
  <c r="C623" i="12"/>
  <c r="K623" i="12" s="1"/>
  <c r="C622" i="12"/>
  <c r="K622" i="12" s="1"/>
  <c r="C562" i="12"/>
  <c r="K562" i="12" s="1"/>
  <c r="D560" i="12"/>
  <c r="D561" i="12"/>
  <c r="D557" i="12"/>
  <c r="C559" i="12"/>
  <c r="K559" i="12" s="1"/>
  <c r="D554" i="12"/>
  <c r="C556" i="12"/>
  <c r="K556" i="12" s="1"/>
  <c r="D551" i="12"/>
  <c r="C553" i="12"/>
  <c r="K553" i="12" s="1"/>
  <c r="C550" i="12"/>
  <c r="K550" i="12" s="1"/>
  <c r="D548" i="12"/>
  <c r="D530" i="12"/>
  <c r="C532" i="12"/>
  <c r="K532" i="12" s="1"/>
  <c r="D533" i="12"/>
  <c r="C535" i="12"/>
  <c r="K535" i="12" s="1"/>
  <c r="D527" i="12"/>
  <c r="C529" i="12"/>
  <c r="K529" i="12" s="1"/>
  <c r="D485" i="12"/>
  <c r="C487" i="12"/>
  <c r="K487" i="12" s="1"/>
  <c r="D482" i="12"/>
  <c r="C484" i="12"/>
  <c r="K484" i="12" s="1"/>
  <c r="D479" i="12"/>
  <c r="C481" i="12"/>
  <c r="K481" i="12" s="1"/>
  <c r="D427" i="12"/>
  <c r="D424" i="12"/>
  <c r="C429" i="12"/>
  <c r="K429" i="12" s="1"/>
  <c r="C426" i="12"/>
  <c r="K426" i="12" s="1"/>
  <c r="C421" i="12"/>
  <c r="K421" i="12" s="1"/>
  <c r="D419" i="12"/>
  <c r="D420" i="12"/>
  <c r="D417" i="12"/>
  <c r="D416" i="12"/>
  <c r="C418" i="12"/>
  <c r="K418" i="12" s="1"/>
  <c r="D402" i="12"/>
  <c r="C404" i="12"/>
  <c r="K404" i="12" s="1"/>
  <c r="K126" i="12"/>
  <c r="K249" i="12"/>
  <c r="K344" i="12"/>
  <c r="K809" i="12"/>
  <c r="K823" i="12"/>
  <c r="K672" i="12" l="1"/>
  <c r="K565" i="12"/>
  <c r="K448" i="12"/>
  <c r="K826" i="12"/>
  <c r="X114" i="21" l="1"/>
  <c r="AD114" i="21" s="1"/>
  <c r="X115" i="21"/>
  <c r="AD115" i="21" s="1"/>
  <c r="W117" i="21"/>
  <c r="U120" i="21"/>
  <c r="AD120" i="21" s="1"/>
  <c r="P120" i="21"/>
  <c r="S120" i="21" s="1"/>
  <c r="R120" i="21"/>
  <c r="P114" i="21"/>
  <c r="S114" i="21" s="1"/>
  <c r="R114" i="21"/>
  <c r="P115" i="21"/>
  <c r="S115" i="21" s="1"/>
  <c r="R115" i="21"/>
  <c r="AC108" i="21"/>
  <c r="Y108" i="21"/>
  <c r="Y109" i="21"/>
  <c r="U107" i="21"/>
  <c r="Z97" i="21"/>
  <c r="P87" i="21"/>
  <c r="S87" i="21" s="1"/>
  <c r="R87" i="21"/>
  <c r="P88" i="21"/>
  <c r="S88" i="21" s="1"/>
  <c r="R88" i="21"/>
  <c r="P89" i="21"/>
  <c r="S89" i="21" s="1"/>
  <c r="R89" i="21"/>
  <c r="P90" i="21"/>
  <c r="S90" i="21" s="1"/>
  <c r="R90" i="21"/>
  <c r="P91" i="21"/>
  <c r="S91" i="21" s="1"/>
  <c r="R91" i="21"/>
  <c r="P82" i="21"/>
  <c r="S82" i="21" s="1"/>
  <c r="R82" i="21"/>
  <c r="P73" i="21"/>
  <c r="S73" i="21" s="1"/>
  <c r="R73" i="21"/>
  <c r="P74" i="21"/>
  <c r="S74" i="21" s="1"/>
  <c r="R74" i="21"/>
  <c r="P75" i="21"/>
  <c r="S75" i="21" s="1"/>
  <c r="R75" i="21"/>
  <c r="P76" i="21"/>
  <c r="S76" i="21" s="1"/>
  <c r="R76" i="21"/>
  <c r="P68" i="21"/>
  <c r="S68" i="21" s="1"/>
  <c r="R68" i="21"/>
  <c r="P69" i="21"/>
  <c r="S69" i="21" s="1"/>
  <c r="R69" i="21"/>
  <c r="P70" i="21"/>
  <c r="S70" i="21" s="1"/>
  <c r="R70" i="21"/>
  <c r="P71" i="21"/>
  <c r="S71" i="21" s="1"/>
  <c r="R71" i="21"/>
  <c r="P72" i="21"/>
  <c r="S72" i="21" s="1"/>
  <c r="R72" i="21"/>
  <c r="P66" i="21"/>
  <c r="S66" i="21" s="1"/>
  <c r="R66" i="21"/>
  <c r="P63" i="21"/>
  <c r="S63" i="21" s="1"/>
  <c r="R63" i="21"/>
  <c r="P64" i="21"/>
  <c r="S64" i="21" s="1"/>
  <c r="R64" i="21"/>
  <c r="AC86" i="21"/>
  <c r="AB80" i="21"/>
  <c r="AB81" i="21"/>
  <c r="AB86" i="21"/>
  <c r="AB88" i="21"/>
  <c r="AA68" i="21"/>
  <c r="AA69" i="21"/>
  <c r="AA71" i="21"/>
  <c r="AA73" i="21"/>
  <c r="AA74" i="21"/>
  <c r="AA80" i="21"/>
  <c r="AA81" i="21"/>
  <c r="Z68" i="21"/>
  <c r="Z71" i="21"/>
  <c r="Z73" i="21"/>
  <c r="Z74" i="21"/>
  <c r="Z81" i="21"/>
  <c r="Z86" i="21"/>
  <c r="Z88" i="21"/>
  <c r="Y68" i="21"/>
  <c r="Y70" i="21"/>
  <c r="Y71" i="21"/>
  <c r="Y73" i="21"/>
  <c r="Y74" i="21"/>
  <c r="Y81" i="21"/>
  <c r="Y88" i="21"/>
  <c r="X68" i="21"/>
  <c r="X69" i="21"/>
  <c r="X71" i="21"/>
  <c r="X73" i="21"/>
  <c r="X74" i="21"/>
  <c r="W65" i="21"/>
  <c r="W71" i="21"/>
  <c r="W73" i="21"/>
  <c r="W74" i="21"/>
  <c r="W79" i="21"/>
  <c r="AD79" i="21" s="1"/>
  <c r="W81" i="21"/>
  <c r="W90" i="21"/>
  <c r="AD90" i="21" s="1"/>
  <c r="W91" i="21"/>
  <c r="AD91" i="21" s="1"/>
  <c r="V78" i="21"/>
  <c r="AD78" i="21" s="1"/>
  <c r="V81" i="21"/>
  <c r="V82" i="21"/>
  <c r="AD82" i="21" s="1"/>
  <c r="V83" i="21"/>
  <c r="V86" i="21"/>
  <c r="V87" i="21"/>
  <c r="AD87" i="21" s="1"/>
  <c r="V88" i="21"/>
  <c r="V89" i="21"/>
  <c r="AD89" i="21" s="1"/>
  <c r="U66" i="21"/>
  <c r="AD66" i="21" s="1"/>
  <c r="U67" i="21"/>
  <c r="AD67" i="21" s="1"/>
  <c r="U68" i="21"/>
  <c r="U69" i="21"/>
  <c r="U70" i="21"/>
  <c r="U71" i="21"/>
  <c r="U72" i="21"/>
  <c r="AD72" i="21" s="1"/>
  <c r="U73" i="21"/>
  <c r="U74" i="21"/>
  <c r="U75" i="21"/>
  <c r="AD75" i="21" s="1"/>
  <c r="U76" i="21"/>
  <c r="AD76" i="21" s="1"/>
  <c r="U77" i="21"/>
  <c r="AD77" i="21" s="1"/>
  <c r="U81" i="21"/>
  <c r="U85" i="21"/>
  <c r="AD85" i="21" s="1"/>
  <c r="U88" i="21"/>
  <c r="U63" i="21"/>
  <c r="AD63" i="21" s="1"/>
  <c r="U64" i="21"/>
  <c r="AD64" i="21" s="1"/>
  <c r="AA46" i="21"/>
  <c r="W44" i="21"/>
  <c r="P13" i="21"/>
  <c r="S13" i="21" s="1"/>
  <c r="R13" i="21"/>
  <c r="P25" i="21"/>
  <c r="S25" i="21" s="1"/>
  <c r="R25" i="21"/>
  <c r="P27" i="21"/>
  <c r="S27" i="21" s="1"/>
  <c r="R27" i="21"/>
  <c r="P35" i="21"/>
  <c r="S35" i="21" s="1"/>
  <c r="R35" i="21"/>
  <c r="AB25" i="21"/>
  <c r="AD25" i="21" s="1"/>
  <c r="AB13" i="21"/>
  <c r="AD13" i="21" s="1"/>
  <c r="AB14" i="21"/>
  <c r="Z19" i="21"/>
  <c r="AD19" i="21" s="1"/>
  <c r="Y12" i="21"/>
  <c r="W35" i="21"/>
  <c r="AD35" i="21" s="1"/>
  <c r="W27" i="21"/>
  <c r="AD27" i="21" s="1"/>
  <c r="W22" i="21"/>
  <c r="U16" i="21"/>
  <c r="U17" i="21"/>
  <c r="U20" i="21"/>
  <c r="U23" i="21"/>
  <c r="U26" i="21"/>
  <c r="U29" i="21"/>
  <c r="U30" i="21"/>
  <c r="U31" i="21"/>
  <c r="U32" i="21"/>
  <c r="P19" i="21"/>
  <c r="S19" i="21" s="1"/>
  <c r="R19" i="21"/>
  <c r="AD69" i="21" l="1"/>
  <c r="T115" i="21"/>
  <c r="AD70" i="21"/>
  <c r="AD80" i="21"/>
  <c r="AD71" i="21"/>
  <c r="T120" i="21"/>
  <c r="T150" i="21" s="1"/>
  <c r="AD74" i="21"/>
  <c r="AD68" i="21"/>
  <c r="T114" i="21"/>
  <c r="AD73" i="21"/>
  <c r="H12" i="36"/>
  <c r="H10" i="36"/>
  <c r="D28" i="36"/>
  <c r="D40" i="36"/>
  <c r="H35" i="36"/>
  <c r="L35" i="36" s="1"/>
  <c r="H36" i="36"/>
  <c r="L36" i="36" s="1"/>
  <c r="H37" i="36"/>
  <c r="L37" i="36" s="1"/>
  <c r="H38" i="36"/>
  <c r="L38" i="36" s="1"/>
  <c r="H39" i="36"/>
  <c r="L39" i="36" s="1"/>
  <c r="H26" i="36"/>
  <c r="H95" i="36"/>
  <c r="L95" i="36" s="1"/>
  <c r="L97" i="36" s="1"/>
  <c r="D80" i="36"/>
  <c r="D79" i="36"/>
  <c r="D51" i="36"/>
  <c r="C51" i="36" s="1"/>
  <c r="H51" i="36" s="1"/>
  <c r="I51" i="36" s="1"/>
  <c r="K51" i="36" s="1"/>
  <c r="D50" i="36"/>
  <c r="C50" i="36" s="1"/>
  <c r="H50" i="36" s="1"/>
  <c r="I50" i="36" s="1"/>
  <c r="K50" i="36" s="1"/>
  <c r="C52" i="36"/>
  <c r="H52" i="36" s="1"/>
  <c r="I52" i="36" s="1"/>
  <c r="K52" i="36" s="1"/>
  <c r="C53" i="36"/>
  <c r="H53" i="36" s="1"/>
  <c r="I53" i="36" s="1"/>
  <c r="K53" i="36" s="1"/>
  <c r="C54" i="36"/>
  <c r="H54" i="36" s="1"/>
  <c r="I54" i="36" s="1"/>
  <c r="K54" i="36" s="1"/>
  <c r="C84" i="36"/>
  <c r="I78" i="36"/>
  <c r="I79" i="36"/>
  <c r="I80" i="36"/>
  <c r="I81" i="36"/>
  <c r="I82" i="36"/>
  <c r="I83" i="36"/>
  <c r="I75" i="36"/>
  <c r="I76" i="36"/>
  <c r="C70" i="36"/>
  <c r="G69" i="36"/>
  <c r="H69" i="36" s="1"/>
  <c r="I69" i="36" s="1"/>
  <c r="G68" i="36"/>
  <c r="H68" i="36" s="1"/>
  <c r="I68" i="36" s="1"/>
  <c r="D66" i="36"/>
  <c r="D65" i="36"/>
  <c r="G62" i="36"/>
  <c r="H62" i="36" s="1"/>
  <c r="I62" i="36" s="1"/>
  <c r="G63" i="36"/>
  <c r="H63" i="36" s="1"/>
  <c r="I63" i="36" s="1"/>
  <c r="G64" i="36"/>
  <c r="H64" i="36" s="1"/>
  <c r="I64" i="36" s="1"/>
  <c r="M89" i="36"/>
  <c r="N89" i="36" s="1"/>
  <c r="J89" i="36"/>
  <c r="H89" i="36"/>
  <c r="K89" i="36" s="1"/>
  <c r="C89" i="36"/>
  <c r="G116" i="36"/>
  <c r="I116" i="36" s="1"/>
  <c r="J116" i="36" s="1"/>
  <c r="G108" i="36"/>
  <c r="I108" i="36" s="1"/>
  <c r="J90" i="36" l="1"/>
  <c r="H90" i="36"/>
  <c r="C90" i="36"/>
  <c r="K90" i="36"/>
  <c r="K118" i="36"/>
  <c r="J118" i="36"/>
  <c r="L116" i="36"/>
  <c r="L118" i="36" s="1"/>
  <c r="G118" i="36"/>
  <c r="I118" i="36"/>
  <c r="I110" i="36"/>
  <c r="I112" i="36" s="1"/>
  <c r="D103" i="36" l="1"/>
  <c r="H101" i="36"/>
  <c r="L101" i="36" s="1"/>
  <c r="I77" i="36"/>
  <c r="I84" i="36" s="1"/>
  <c r="G67" i="36"/>
  <c r="H67" i="36" s="1"/>
  <c r="I67" i="36" s="1"/>
  <c r="G66" i="36"/>
  <c r="H66" i="36" s="1"/>
  <c r="I66" i="36" s="1"/>
  <c r="G65" i="36"/>
  <c r="H65" i="36" s="1"/>
  <c r="I65" i="36" s="1"/>
  <c r="G61" i="36"/>
  <c r="C49" i="36"/>
  <c r="H49" i="36" s="1"/>
  <c r="I49" i="36" s="1"/>
  <c r="K49" i="36" s="1"/>
  <c r="C48" i="36"/>
  <c r="H48" i="36" s="1"/>
  <c r="I48" i="36" s="1"/>
  <c r="K48" i="36" s="1"/>
  <c r="C47" i="36"/>
  <c r="H47" i="36" s="1"/>
  <c r="I47" i="36" s="1"/>
  <c r="K47" i="36" s="1"/>
  <c r="C46" i="36"/>
  <c r="H34" i="36"/>
  <c r="L34" i="36" s="1"/>
  <c r="L40" i="36" s="1"/>
  <c r="H27" i="36"/>
  <c r="L27" i="36" s="1"/>
  <c r="L26" i="36"/>
  <c r="L28" i="36" s="1"/>
  <c r="L18" i="36"/>
  <c r="L17" i="36"/>
  <c r="H15" i="36"/>
  <c r="L15" i="36" s="1"/>
  <c r="H14" i="36"/>
  <c r="L14" i="36" s="1"/>
  <c r="H13" i="36"/>
  <c r="L13" i="36" s="1"/>
  <c r="L12" i="36"/>
  <c r="L10" i="36"/>
  <c r="C55" i="36" l="1"/>
  <c r="H55" i="36" s="1"/>
  <c r="I55" i="36" s="1"/>
  <c r="H46" i="36"/>
  <c r="I46" i="36" s="1"/>
  <c r="K46" i="36" s="1"/>
  <c r="K55" i="36" s="1"/>
  <c r="H61" i="36"/>
  <c r="I61" i="36" s="1"/>
  <c r="G70" i="36"/>
  <c r="H70" i="36" s="1"/>
  <c r="I70" i="36" s="1"/>
  <c r="L103" i="36"/>
  <c r="H380" i="14" l="1"/>
  <c r="L380" i="14"/>
  <c r="D381" i="14"/>
  <c r="H384" i="14"/>
  <c r="L384" i="14" s="1"/>
  <c r="H385" i="14"/>
  <c r="H386" i="14"/>
  <c r="L386" i="14" s="1"/>
  <c r="H387" i="14"/>
  <c r="L387" i="14" s="1"/>
  <c r="H388" i="14"/>
  <c r="L388" i="14" s="1"/>
  <c r="H389" i="14"/>
  <c r="L389" i="14" s="1"/>
  <c r="H390" i="14"/>
  <c r="L390" i="14" s="1"/>
  <c r="H391" i="14"/>
  <c r="L391" i="14" s="1"/>
  <c r="L385" i="14"/>
  <c r="H376" i="14"/>
  <c r="H377" i="14"/>
  <c r="H378" i="14"/>
  <c r="L378" i="14" s="1"/>
  <c r="H379" i="14"/>
  <c r="L379" i="14" s="1"/>
  <c r="L376" i="14"/>
  <c r="L377" i="14"/>
  <c r="H339" i="14"/>
  <c r="L339" i="14" s="1"/>
  <c r="D340" i="14"/>
  <c r="H742" i="14"/>
  <c r="L742" i="14" s="1"/>
  <c r="G244" i="13" l="1"/>
  <c r="H244" i="13"/>
  <c r="N244" i="13"/>
  <c r="C244" i="13"/>
  <c r="G311" i="13"/>
  <c r="H311" i="13"/>
  <c r="M311" i="13"/>
  <c r="C311" i="13"/>
  <c r="G454" i="13"/>
  <c r="H454" i="13"/>
  <c r="M454" i="13"/>
  <c r="N454" i="13"/>
  <c r="C454" i="13"/>
  <c r="G428" i="11"/>
  <c r="O428" i="11"/>
  <c r="T428" i="11"/>
  <c r="C428" i="11"/>
  <c r="G295" i="11"/>
  <c r="O295" i="11"/>
  <c r="T295" i="11"/>
  <c r="C295" i="11"/>
  <c r="G228" i="11"/>
  <c r="C228" i="11"/>
  <c r="T23" i="31"/>
  <c r="N23" i="31"/>
  <c r="W109" i="21"/>
  <c r="W108" i="21"/>
  <c r="H175" i="11"/>
  <c r="P175" i="11" s="1"/>
  <c r="O180" i="13"/>
  <c r="K179" i="13"/>
  <c r="K178" i="13"/>
  <c r="U173" i="11"/>
  <c r="U172" i="11"/>
  <c r="S172" i="11"/>
  <c r="H172" i="11"/>
  <c r="H173" i="11"/>
  <c r="S173" i="11" s="1"/>
  <c r="H174" i="11"/>
  <c r="P174" i="11" s="1"/>
  <c r="H176" i="11"/>
  <c r="H177" i="11"/>
  <c r="H178" i="11"/>
  <c r="C255" i="12"/>
  <c r="L255" i="12" s="1"/>
  <c r="C256" i="12"/>
  <c r="H256" i="12" s="1"/>
  <c r="I256" i="12" s="1"/>
  <c r="L256" i="12" s="1"/>
  <c r="C257" i="12"/>
  <c r="L257" i="12" s="1"/>
  <c r="D256" i="12"/>
  <c r="D254" i="12"/>
  <c r="C254" i="12"/>
  <c r="H254" i="12" s="1"/>
  <c r="I254" i="12" s="1"/>
  <c r="L254" i="12" s="1"/>
  <c r="C258" i="12"/>
  <c r="H258" i="12" s="1"/>
  <c r="I258" i="12" s="1"/>
  <c r="M258" i="12" s="1"/>
  <c r="C259" i="12"/>
  <c r="C260" i="12"/>
  <c r="C261" i="12"/>
  <c r="H261" i="12" s="1"/>
  <c r="I261" i="12" s="1"/>
  <c r="C262" i="12"/>
  <c r="H262" i="12" s="1"/>
  <c r="I262" i="12" s="1"/>
  <c r="C263" i="12"/>
  <c r="H263" i="12" s="1"/>
  <c r="I263" i="12" s="1"/>
  <c r="D501" i="14"/>
  <c r="D1168" i="14" s="1"/>
  <c r="H500" i="14"/>
  <c r="L500" i="14" s="1"/>
  <c r="H514" i="14"/>
  <c r="L514" i="14" s="1"/>
  <c r="D515" i="14"/>
  <c r="D1179" i="14" s="1"/>
  <c r="H513" i="14"/>
  <c r="L513" i="14" s="1"/>
  <c r="H512" i="14"/>
  <c r="L512" i="14" s="1"/>
  <c r="H507" i="14"/>
  <c r="L507" i="14" s="1"/>
  <c r="H508" i="14"/>
  <c r="H509" i="14"/>
  <c r="L509" i="14" s="1"/>
  <c r="H510" i="14"/>
  <c r="L510" i="14" s="1"/>
  <c r="H511" i="14"/>
  <c r="L511" i="14" s="1"/>
  <c r="L508" i="14"/>
  <c r="H499" i="14"/>
  <c r="L499" i="14" s="1"/>
  <c r="H498" i="14"/>
  <c r="L498" i="14" s="1"/>
  <c r="H497" i="14"/>
  <c r="L497" i="14" s="1"/>
  <c r="H496" i="14"/>
  <c r="L496" i="14" s="1"/>
  <c r="H450" i="14"/>
  <c r="L450" i="14" s="1"/>
  <c r="D451" i="14"/>
  <c r="X108" i="21"/>
  <c r="X86" i="21"/>
  <c r="O23" i="31"/>
  <c r="H236" i="11"/>
  <c r="P236" i="11" s="1"/>
  <c r="O251" i="13"/>
  <c r="K250" i="13"/>
  <c r="K249" i="13"/>
  <c r="U234" i="11"/>
  <c r="U233" i="11"/>
  <c r="H235" i="11"/>
  <c r="P235" i="11" s="1"/>
  <c r="H234" i="11"/>
  <c r="S234" i="11" s="1"/>
  <c r="H233" i="11"/>
  <c r="S233" i="11" s="1"/>
  <c r="C350" i="12"/>
  <c r="L350" i="12" s="1"/>
  <c r="C351" i="12"/>
  <c r="H351" i="12" s="1"/>
  <c r="I351" i="12" s="1"/>
  <c r="L351" i="12" s="1"/>
  <c r="C352" i="12"/>
  <c r="L352" i="12" s="1"/>
  <c r="D349" i="12"/>
  <c r="C349" i="12"/>
  <c r="H349" i="12" s="1"/>
  <c r="I349" i="12" s="1"/>
  <c r="L349" i="12" s="1"/>
  <c r="C353" i="12"/>
  <c r="H353" i="12" s="1"/>
  <c r="I353" i="12" s="1"/>
  <c r="M353" i="12" s="1"/>
  <c r="C354" i="12"/>
  <c r="C355" i="12"/>
  <c r="C356" i="12"/>
  <c r="H356" i="12" s="1"/>
  <c r="I356" i="12" s="1"/>
  <c r="C357" i="12"/>
  <c r="H357" i="12" s="1"/>
  <c r="I357" i="12" s="1"/>
  <c r="C358" i="12"/>
  <c r="H358" i="12" s="1"/>
  <c r="I358" i="12" s="1"/>
  <c r="C360" i="12"/>
  <c r="J823" i="12"/>
  <c r="N823" i="12"/>
  <c r="O823" i="12"/>
  <c r="P823" i="12"/>
  <c r="Q823" i="12"/>
  <c r="C822" i="12"/>
  <c r="H822" i="12" s="1"/>
  <c r="I822" i="12" s="1"/>
  <c r="C821" i="12"/>
  <c r="H821" i="12" s="1"/>
  <c r="I821" i="12" s="1"/>
  <c r="C773" i="12"/>
  <c r="H773" i="12" s="1"/>
  <c r="I773" i="12" s="1"/>
  <c r="C772" i="12"/>
  <c r="H772" i="12" s="1"/>
  <c r="I772" i="12" s="1"/>
  <c r="C686" i="12"/>
  <c r="H686" i="12" s="1"/>
  <c r="I686" i="12" s="1"/>
  <c r="C685" i="12"/>
  <c r="H685" i="12" s="1"/>
  <c r="I685" i="12" s="1"/>
  <c r="C579" i="12"/>
  <c r="H579" i="12" s="1"/>
  <c r="I579" i="12" s="1"/>
  <c r="C578" i="12"/>
  <c r="H578" i="12" s="1"/>
  <c r="I578" i="12" s="1"/>
  <c r="H852" i="14"/>
  <c r="L852" i="14" s="1"/>
  <c r="H851" i="14"/>
  <c r="L851" i="14" s="1"/>
  <c r="H850" i="14"/>
  <c r="L850" i="14" s="1"/>
  <c r="H849" i="14"/>
  <c r="L849" i="14" s="1"/>
  <c r="H836" i="14"/>
  <c r="L836" i="14" s="1"/>
  <c r="D853" i="14"/>
  <c r="D838" i="14"/>
  <c r="H837" i="14"/>
  <c r="L837" i="14" s="1"/>
  <c r="H835" i="14"/>
  <c r="L835" i="14" s="1"/>
  <c r="H834" i="14"/>
  <c r="L834" i="14" s="1"/>
  <c r="D843" i="14"/>
  <c r="H842" i="14"/>
  <c r="L842" i="14" s="1"/>
  <c r="H841" i="14"/>
  <c r="L841" i="14" s="1"/>
  <c r="H840" i="14"/>
  <c r="L840" i="14" s="1"/>
  <c r="H813" i="14"/>
  <c r="L813" i="14" s="1"/>
  <c r="H814" i="14"/>
  <c r="L814" i="14" s="1"/>
  <c r="H827" i="14"/>
  <c r="L827" i="14" s="1"/>
  <c r="H826" i="14"/>
  <c r="L826" i="14" s="1"/>
  <c r="D828" i="14"/>
  <c r="D1181" i="14" s="1"/>
  <c r="D815" i="14"/>
  <c r="D1170" i="14" s="1"/>
  <c r="L1170" i="14" s="1"/>
  <c r="H825" i="14"/>
  <c r="L825" i="14" s="1"/>
  <c r="H824" i="14"/>
  <c r="L824" i="14" s="1"/>
  <c r="H823" i="14"/>
  <c r="L823" i="14" s="1"/>
  <c r="H812" i="14"/>
  <c r="L812" i="14" s="1"/>
  <c r="H822" i="14"/>
  <c r="L822" i="14" s="1"/>
  <c r="H820" i="14"/>
  <c r="L820" i="14" s="1"/>
  <c r="H821" i="14"/>
  <c r="L821" i="14" s="1"/>
  <c r="D743" i="14"/>
  <c r="H811" i="14"/>
  <c r="L811" i="14" s="1"/>
  <c r="H810" i="14"/>
  <c r="L810" i="14" s="1"/>
  <c r="L501" i="14" l="1"/>
  <c r="L838" i="14"/>
  <c r="L843" i="14"/>
  <c r="L815" i="14"/>
  <c r="O394" i="13"/>
  <c r="K393" i="13"/>
  <c r="K392" i="13"/>
  <c r="H371" i="11"/>
  <c r="P371" i="11" s="1"/>
  <c r="U369" i="11"/>
  <c r="U368" i="11"/>
  <c r="H370" i="11"/>
  <c r="P370" i="11" s="1"/>
  <c r="H369" i="11"/>
  <c r="S369" i="11" s="1"/>
  <c r="H368" i="11"/>
  <c r="D572" i="12"/>
  <c r="D570" i="12"/>
  <c r="C570" i="12" s="1"/>
  <c r="H570" i="12" s="1"/>
  <c r="I570" i="12" s="1"/>
  <c r="L570" i="12" s="1"/>
  <c r="C571" i="12"/>
  <c r="L571" i="12" s="1"/>
  <c r="C573" i="12"/>
  <c r="L573" i="12" s="1"/>
  <c r="C572" i="12"/>
  <c r="H572" i="12" s="1"/>
  <c r="I572" i="12" s="1"/>
  <c r="L572" i="12" s="1"/>
  <c r="C574" i="12"/>
  <c r="H574" i="12" s="1"/>
  <c r="I574" i="12" s="1"/>
  <c r="M574" i="12" s="1"/>
  <c r="C575" i="12"/>
  <c r="C576" i="12"/>
  <c r="C577" i="12"/>
  <c r="H577" i="12" s="1"/>
  <c r="I577" i="12" s="1"/>
  <c r="Q23" i="31"/>
  <c r="Z109" i="21"/>
  <c r="Z108" i="21"/>
  <c r="R23" i="31"/>
  <c r="H16" i="31"/>
  <c r="T16" i="31" s="1"/>
  <c r="S23" i="31"/>
  <c r="G483" i="11"/>
  <c r="O483" i="11"/>
  <c r="T483" i="11"/>
  <c r="C483" i="11"/>
  <c r="G515" i="13"/>
  <c r="H515" i="13"/>
  <c r="M515" i="13"/>
  <c r="N515" i="13"/>
  <c r="C515" i="13"/>
  <c r="O461" i="13"/>
  <c r="K460" i="13"/>
  <c r="K459" i="13"/>
  <c r="U434" i="11"/>
  <c r="U433" i="11"/>
  <c r="H436" i="11"/>
  <c r="P436" i="11" s="1"/>
  <c r="H433" i="11"/>
  <c r="S433" i="11" s="1"/>
  <c r="H434" i="11"/>
  <c r="S434" i="11" s="1"/>
  <c r="H435" i="11"/>
  <c r="P435" i="11" s="1"/>
  <c r="D679" i="12"/>
  <c r="D677" i="12"/>
  <c r="C677" i="12" s="1"/>
  <c r="H677" i="12" s="1"/>
  <c r="I677" i="12" s="1"/>
  <c r="L677" i="12" s="1"/>
  <c r="C680" i="12"/>
  <c r="L680" i="12" s="1"/>
  <c r="C678" i="12"/>
  <c r="L678" i="12" s="1"/>
  <c r="C679" i="12"/>
  <c r="C681" i="12"/>
  <c r="H681" i="12" s="1"/>
  <c r="I681" i="12" s="1"/>
  <c r="M681" i="12" s="1"/>
  <c r="C682" i="12"/>
  <c r="C683" i="12"/>
  <c r="C684" i="12"/>
  <c r="H684" i="12" s="1"/>
  <c r="I684" i="12" s="1"/>
  <c r="H943" i="14"/>
  <c r="L943" i="14" s="1"/>
  <c r="H944" i="14"/>
  <c r="L944" i="14" s="1"/>
  <c r="H950" i="14"/>
  <c r="L950" i="14" s="1"/>
  <c r="H951" i="14"/>
  <c r="L951" i="14" s="1"/>
  <c r="H952" i="14"/>
  <c r="L952" i="14" s="1"/>
  <c r="H953" i="14"/>
  <c r="L953" i="14" s="1"/>
  <c r="H954" i="14"/>
  <c r="L954" i="14" s="1"/>
  <c r="H955" i="14"/>
  <c r="L955" i="14" s="1"/>
  <c r="H956" i="14"/>
  <c r="L956" i="14" s="1"/>
  <c r="H972" i="14"/>
  <c r="L972" i="14" s="1"/>
  <c r="H963" i="14"/>
  <c r="L963" i="14" s="1"/>
  <c r="H964" i="14"/>
  <c r="L964" i="14" s="1"/>
  <c r="H965" i="14"/>
  <c r="L965" i="14" s="1"/>
  <c r="H981" i="14"/>
  <c r="L981" i="14" s="1"/>
  <c r="D982" i="14"/>
  <c r="D967" i="14"/>
  <c r="H966" i="14"/>
  <c r="L966" i="14" s="1"/>
  <c r="D973" i="14"/>
  <c r="H980" i="14"/>
  <c r="L980" i="14" s="1"/>
  <c r="H979" i="14"/>
  <c r="L979" i="14" s="1"/>
  <c r="H971" i="14"/>
  <c r="L971" i="14" s="1"/>
  <c r="H970" i="14"/>
  <c r="L970" i="14" s="1"/>
  <c r="D945" i="14"/>
  <c r="D1171" i="14" s="1"/>
  <c r="L1171" i="14" s="1"/>
  <c r="D957" i="14"/>
  <c r="D1182" i="14" s="1"/>
  <c r="H948" i="14"/>
  <c r="L948" i="14" s="1"/>
  <c r="H942" i="14"/>
  <c r="L942" i="14" s="1"/>
  <c r="H941" i="14"/>
  <c r="L941" i="14" s="1"/>
  <c r="H898" i="14"/>
  <c r="L898" i="14" s="1"/>
  <c r="D899" i="14"/>
  <c r="AA109" i="21"/>
  <c r="AA108" i="21"/>
  <c r="AB109" i="21"/>
  <c r="AC106" i="21"/>
  <c r="AD106" i="21" s="1"/>
  <c r="R106" i="21"/>
  <c r="P131" i="21"/>
  <c r="P126" i="21"/>
  <c r="P125" i="21"/>
  <c r="P124" i="21"/>
  <c r="P123" i="21"/>
  <c r="P122" i="21"/>
  <c r="P121" i="21"/>
  <c r="P119" i="21"/>
  <c r="P118" i="21"/>
  <c r="P117" i="21"/>
  <c r="P116" i="21"/>
  <c r="P109" i="21"/>
  <c r="P108" i="21"/>
  <c r="P107" i="21"/>
  <c r="P106" i="21"/>
  <c r="S106" i="21" s="1"/>
  <c r="P105" i="21"/>
  <c r="P104" i="21"/>
  <c r="P99" i="21"/>
  <c r="P98" i="21"/>
  <c r="P97" i="21"/>
  <c r="P92" i="21"/>
  <c r="P86" i="21"/>
  <c r="P85" i="21"/>
  <c r="P84" i="21"/>
  <c r="P83" i="21"/>
  <c r="P81" i="21"/>
  <c r="P80" i="21"/>
  <c r="P79" i="21"/>
  <c r="P78" i="21"/>
  <c r="P77" i="21"/>
  <c r="P67" i="21"/>
  <c r="P65" i="21"/>
  <c r="P62" i="21"/>
  <c r="P61" i="21"/>
  <c r="P56" i="21"/>
  <c r="P55" i="21"/>
  <c r="P50" i="21"/>
  <c r="P49" i="21"/>
  <c r="P48" i="21"/>
  <c r="P47" i="21"/>
  <c r="P46" i="21"/>
  <c r="P45" i="21"/>
  <c r="P44" i="21"/>
  <c r="P43" i="21"/>
  <c r="AC88" i="21"/>
  <c r="AC14" i="21"/>
  <c r="R126" i="21"/>
  <c r="R125" i="21"/>
  <c r="R124" i="21"/>
  <c r="R123" i="21"/>
  <c r="R122" i="21"/>
  <c r="R121" i="21"/>
  <c r="R119" i="21"/>
  <c r="R118" i="21"/>
  <c r="R117" i="21"/>
  <c r="R116" i="21"/>
  <c r="R109" i="21"/>
  <c r="R108" i="21"/>
  <c r="R107" i="21"/>
  <c r="R105" i="21"/>
  <c r="R104" i="21"/>
  <c r="R99" i="21"/>
  <c r="R98" i="21"/>
  <c r="R97" i="21"/>
  <c r="R92" i="21"/>
  <c r="R86" i="21"/>
  <c r="R85" i="21"/>
  <c r="R84" i="21"/>
  <c r="R83" i="21"/>
  <c r="R81" i="21"/>
  <c r="R80" i="21"/>
  <c r="R79" i="21"/>
  <c r="R78" i="21"/>
  <c r="R77" i="21"/>
  <c r="R67" i="21"/>
  <c r="R65" i="21"/>
  <c r="R62" i="21"/>
  <c r="R61" i="21"/>
  <c r="R56" i="21"/>
  <c r="R55" i="21"/>
  <c r="R50" i="21"/>
  <c r="R49" i="21"/>
  <c r="R48" i="21"/>
  <c r="R47" i="21"/>
  <c r="R46" i="21"/>
  <c r="R45" i="21"/>
  <c r="R44" i="21"/>
  <c r="R43" i="21"/>
  <c r="AD61" i="21"/>
  <c r="AD14" i="21"/>
  <c r="P14" i="21"/>
  <c r="S14" i="21" s="1"/>
  <c r="P15" i="21"/>
  <c r="P16" i="21"/>
  <c r="P17" i="21"/>
  <c r="P18" i="21"/>
  <c r="P20" i="21"/>
  <c r="P21" i="21"/>
  <c r="S21" i="21" s="1"/>
  <c r="P22" i="21"/>
  <c r="S22" i="21" s="1"/>
  <c r="P23" i="21"/>
  <c r="S23" i="21" s="1"/>
  <c r="P24" i="21"/>
  <c r="S24" i="21" s="1"/>
  <c r="P26" i="21"/>
  <c r="S26" i="21" s="1"/>
  <c r="P28" i="21"/>
  <c r="S28" i="21" s="1"/>
  <c r="P29" i="21"/>
  <c r="S29" i="21" s="1"/>
  <c r="P30" i="21"/>
  <c r="S30" i="21" s="1"/>
  <c r="P31" i="21"/>
  <c r="S31" i="21" s="1"/>
  <c r="P32" i="21"/>
  <c r="S32" i="21" s="1"/>
  <c r="P33" i="21"/>
  <c r="S33" i="21" s="1"/>
  <c r="P34" i="21"/>
  <c r="P36" i="21"/>
  <c r="P37" i="21"/>
  <c r="P38" i="21"/>
  <c r="P12" i="21"/>
  <c r="R14" i="21"/>
  <c r="R15" i="21"/>
  <c r="R16" i="21"/>
  <c r="R17" i="21"/>
  <c r="R18" i="21"/>
  <c r="R20" i="21"/>
  <c r="R21" i="21"/>
  <c r="R22" i="21"/>
  <c r="R23" i="21"/>
  <c r="R24" i="21"/>
  <c r="R26" i="21"/>
  <c r="R28" i="21"/>
  <c r="R29" i="21"/>
  <c r="R30" i="21"/>
  <c r="R31" i="21"/>
  <c r="R32" i="21"/>
  <c r="R33" i="21"/>
  <c r="R34" i="21"/>
  <c r="R36" i="21"/>
  <c r="R37" i="21"/>
  <c r="R38" i="21"/>
  <c r="R12" i="21"/>
  <c r="L176" i="33"/>
  <c r="L177" i="33" s="1"/>
  <c r="L175" i="33"/>
  <c r="L170" i="33"/>
  <c r="L169" i="33"/>
  <c r="L164" i="33"/>
  <c r="L163" i="33"/>
  <c r="L158" i="33"/>
  <c r="L157" i="33"/>
  <c r="L152" i="33"/>
  <c r="L151" i="33"/>
  <c r="E124" i="33"/>
  <c r="J124" i="33" s="1"/>
  <c r="L124" i="33" s="1"/>
  <c r="E123" i="33"/>
  <c r="J123" i="33" s="1"/>
  <c r="L123" i="33" s="1"/>
  <c r="E122" i="33"/>
  <c r="J122" i="33" s="1"/>
  <c r="L122" i="33" s="1"/>
  <c r="E121" i="33"/>
  <c r="J121" i="33" s="1"/>
  <c r="L121" i="33" s="1"/>
  <c r="E116" i="33"/>
  <c r="J116" i="33" s="1"/>
  <c r="L116" i="33" s="1"/>
  <c r="E115" i="33"/>
  <c r="J115" i="33" s="1"/>
  <c r="L115" i="33" s="1"/>
  <c r="E114" i="33"/>
  <c r="J114" i="33" s="1"/>
  <c r="L114" i="33" s="1"/>
  <c r="E113" i="33"/>
  <c r="J113" i="33" s="1"/>
  <c r="L113" i="33" s="1"/>
  <c r="E108" i="33"/>
  <c r="J108" i="33" s="1"/>
  <c r="L108" i="33" s="1"/>
  <c r="E107" i="33"/>
  <c r="J107" i="33" s="1"/>
  <c r="L107" i="33" s="1"/>
  <c r="E106" i="33"/>
  <c r="J106" i="33" s="1"/>
  <c r="L106" i="33" s="1"/>
  <c r="E105" i="33"/>
  <c r="J105" i="33" s="1"/>
  <c r="L105" i="33" s="1"/>
  <c r="E100" i="33"/>
  <c r="J100" i="33" s="1"/>
  <c r="L100" i="33" s="1"/>
  <c r="E99" i="33"/>
  <c r="J99" i="33" s="1"/>
  <c r="L99" i="33" s="1"/>
  <c r="E98" i="33"/>
  <c r="J98" i="33" s="1"/>
  <c r="L98" i="33" s="1"/>
  <c r="E97" i="33"/>
  <c r="J97" i="33" s="1"/>
  <c r="L97" i="33" s="1"/>
  <c r="E92" i="33"/>
  <c r="J92" i="33" s="1"/>
  <c r="L92" i="33" s="1"/>
  <c r="E91" i="33"/>
  <c r="J91" i="33" s="1"/>
  <c r="L91" i="33" s="1"/>
  <c r="E90" i="33"/>
  <c r="J90" i="33" s="1"/>
  <c r="L90" i="33" s="1"/>
  <c r="E89" i="33"/>
  <c r="J89" i="33" s="1"/>
  <c r="L89" i="33" s="1"/>
  <c r="L146" i="33"/>
  <c r="L145" i="33"/>
  <c r="L140" i="33"/>
  <c r="L139" i="33"/>
  <c r="L134" i="33"/>
  <c r="L133" i="33"/>
  <c r="E84" i="33"/>
  <c r="J84" i="33" s="1"/>
  <c r="L84" i="33" s="1"/>
  <c r="E83" i="33"/>
  <c r="J83" i="33" s="1"/>
  <c r="L83" i="33" s="1"/>
  <c r="E82" i="33"/>
  <c r="J82" i="33" s="1"/>
  <c r="L82" i="33" s="1"/>
  <c r="E81" i="33"/>
  <c r="J81" i="33" s="1"/>
  <c r="L81" i="33" s="1"/>
  <c r="E76" i="33"/>
  <c r="J76" i="33" s="1"/>
  <c r="L76" i="33" s="1"/>
  <c r="E75" i="33"/>
  <c r="J75" i="33" s="1"/>
  <c r="L75" i="33" s="1"/>
  <c r="E74" i="33"/>
  <c r="J74" i="33" s="1"/>
  <c r="L74" i="33" s="1"/>
  <c r="E73" i="33"/>
  <c r="J73" i="33" s="1"/>
  <c r="L73" i="33" s="1"/>
  <c r="E68" i="33"/>
  <c r="J68" i="33" s="1"/>
  <c r="L68" i="33" s="1"/>
  <c r="E67" i="33"/>
  <c r="J67" i="33" s="1"/>
  <c r="L67" i="33" s="1"/>
  <c r="E66" i="33"/>
  <c r="J66" i="33" s="1"/>
  <c r="L66" i="33" s="1"/>
  <c r="E65" i="33"/>
  <c r="J65" i="33" s="1"/>
  <c r="L65" i="33" s="1"/>
  <c r="E64" i="33"/>
  <c r="J64" i="33" s="1"/>
  <c r="L64" i="33" s="1"/>
  <c r="H522" i="11"/>
  <c r="P522" i="11" s="1"/>
  <c r="H490" i="11"/>
  <c r="P490" i="11" s="1"/>
  <c r="Q552" i="13"/>
  <c r="P552" i="13"/>
  <c r="O553" i="13"/>
  <c r="K551" i="13"/>
  <c r="K557" i="13" s="1"/>
  <c r="I552" i="13"/>
  <c r="O521" i="13"/>
  <c r="K520" i="13"/>
  <c r="U520" i="11"/>
  <c r="U519" i="11"/>
  <c r="H496" i="11"/>
  <c r="H497" i="11"/>
  <c r="H488" i="11"/>
  <c r="S488" i="11" s="1"/>
  <c r="H489" i="11"/>
  <c r="P489" i="11" s="1"/>
  <c r="H491" i="11"/>
  <c r="H492" i="11"/>
  <c r="H493" i="11"/>
  <c r="Q557" i="13"/>
  <c r="N557" i="13"/>
  <c r="J557" i="13"/>
  <c r="I557" i="13"/>
  <c r="G557" i="13"/>
  <c r="C557" i="13"/>
  <c r="M556" i="13"/>
  <c r="P557" i="13"/>
  <c r="L557" i="13"/>
  <c r="G546" i="13"/>
  <c r="H546" i="13"/>
  <c r="I546" i="13"/>
  <c r="J546" i="13"/>
  <c r="K546" i="13"/>
  <c r="L546" i="13"/>
  <c r="M546" i="13"/>
  <c r="N546" i="13"/>
  <c r="P546" i="13"/>
  <c r="Q546" i="13"/>
  <c r="C546" i="13"/>
  <c r="H521" i="11"/>
  <c r="P521" i="11" s="1"/>
  <c r="G526" i="11"/>
  <c r="O526" i="11"/>
  <c r="Q526" i="11"/>
  <c r="T526" i="11"/>
  <c r="C526" i="11"/>
  <c r="G514" i="11"/>
  <c r="O514" i="11"/>
  <c r="T514" i="11"/>
  <c r="C514" i="11"/>
  <c r="D520" i="13"/>
  <c r="D488" i="11"/>
  <c r="U488" i="11" s="1"/>
  <c r="H525" i="11"/>
  <c r="V526" i="11"/>
  <c r="H524" i="11"/>
  <c r="R526" i="11" s="1"/>
  <c r="H523" i="11"/>
  <c r="H520" i="11"/>
  <c r="S520" i="11" s="1"/>
  <c r="H519" i="11"/>
  <c r="S519" i="11" s="1"/>
  <c r="D815" i="12"/>
  <c r="C815" i="12" s="1"/>
  <c r="L815" i="12" s="1"/>
  <c r="C816" i="12"/>
  <c r="L816" i="12" s="1"/>
  <c r="C820" i="12"/>
  <c r="H820" i="12" s="1"/>
  <c r="I820" i="12" s="1"/>
  <c r="C819" i="12"/>
  <c r="C818" i="12"/>
  <c r="C817" i="12"/>
  <c r="H817" i="12" s="1"/>
  <c r="I817" i="12" s="1"/>
  <c r="M817" i="12" s="1"/>
  <c r="M823" i="12" s="1"/>
  <c r="C814" i="12"/>
  <c r="H814" i="12" s="1"/>
  <c r="I814" i="12" s="1"/>
  <c r="L814" i="12" s="1"/>
  <c r="D766" i="12"/>
  <c r="C766" i="12" s="1"/>
  <c r="H766" i="12" s="1"/>
  <c r="I766" i="12" s="1"/>
  <c r="L766" i="12" s="1"/>
  <c r="C767" i="12"/>
  <c r="L767" i="12" s="1"/>
  <c r="C768" i="12"/>
  <c r="H768" i="12" s="1"/>
  <c r="I768" i="12" s="1"/>
  <c r="M768" i="12" s="1"/>
  <c r="C769" i="12"/>
  <c r="C770" i="12"/>
  <c r="C771" i="12"/>
  <c r="H771" i="12" s="1"/>
  <c r="I771" i="12" s="1"/>
  <c r="H1076" i="14"/>
  <c r="L1076" i="14" s="1"/>
  <c r="H1075" i="14"/>
  <c r="L1075" i="14" s="1"/>
  <c r="D1078" i="14"/>
  <c r="H1077" i="14"/>
  <c r="L1077" i="14" s="1"/>
  <c r="H1054" i="14"/>
  <c r="L1054" i="14" s="1"/>
  <c r="H1055" i="14"/>
  <c r="L1055" i="14" s="1"/>
  <c r="D1056" i="14"/>
  <c r="H1053" i="14"/>
  <c r="L1053" i="14" s="1"/>
  <c r="H1052" i="14"/>
  <c r="L1052" i="14" s="1"/>
  <c r="H1073" i="14"/>
  <c r="L1073" i="14" s="1"/>
  <c r="H1074" i="14"/>
  <c r="L1074" i="14" s="1"/>
  <c r="D1060" i="14"/>
  <c r="H1059" i="14"/>
  <c r="L1059" i="14" s="1"/>
  <c r="H1058" i="14"/>
  <c r="L1058" i="14" s="1"/>
  <c r="H1040" i="14"/>
  <c r="L1040" i="14" s="1"/>
  <c r="H1041" i="14"/>
  <c r="L1041" i="14" s="1"/>
  <c r="H1035" i="14"/>
  <c r="L1035" i="14" s="1"/>
  <c r="H1036" i="14"/>
  <c r="L1036" i="14" s="1"/>
  <c r="H1037" i="14"/>
  <c r="H1038" i="14"/>
  <c r="L1038" i="14" s="1"/>
  <c r="H1039" i="14"/>
  <c r="L1039" i="14" s="1"/>
  <c r="D1042" i="14"/>
  <c r="D1183" i="14" s="1"/>
  <c r="L1183" i="14" s="1"/>
  <c r="H1091" i="14"/>
  <c r="L1091" i="14" s="1"/>
  <c r="D1092" i="14"/>
  <c r="D1173" i="14" s="1"/>
  <c r="L1173" i="14" s="1"/>
  <c r="H1098" i="14"/>
  <c r="L1098" i="14" s="1"/>
  <c r="D1099" i="14"/>
  <c r="D1184" i="14" s="1"/>
  <c r="L1184" i="14" s="1"/>
  <c r="H1051" i="14"/>
  <c r="L1051" i="14" s="1"/>
  <c r="H1034" i="14"/>
  <c r="L1034" i="14" s="1"/>
  <c r="H1003" i="14"/>
  <c r="L1003" i="14" s="1"/>
  <c r="D1004" i="14"/>
  <c r="L1037" i="14"/>
  <c r="D1027" i="14"/>
  <c r="D1172" i="14" s="1"/>
  <c r="L1172" i="14" s="1"/>
  <c r="H1026" i="14"/>
  <c r="L1026" i="14" s="1"/>
  <c r="H1025" i="14"/>
  <c r="L1025" i="14" s="1"/>
  <c r="H1033" i="14"/>
  <c r="L1033" i="14" s="1"/>
  <c r="H1032" i="14"/>
  <c r="L1032" i="14" s="1"/>
  <c r="H1031" i="14"/>
  <c r="L1031" i="14" s="1"/>
  <c r="AB108" i="21"/>
  <c r="H1110" i="14"/>
  <c r="H1111" i="14"/>
  <c r="H1112" i="14"/>
  <c r="H1113" i="14"/>
  <c r="H1114" i="14"/>
  <c r="H1115" i="14"/>
  <c r="H1116" i="14"/>
  <c r="H1129" i="14"/>
  <c r="H1130" i="14"/>
  <c r="H1131" i="14"/>
  <c r="H1132" i="14"/>
  <c r="H1133" i="14"/>
  <c r="H1134" i="14"/>
  <c r="H1135" i="14"/>
  <c r="H1128" i="14"/>
  <c r="H1109" i="14"/>
  <c r="L823" i="12" l="1"/>
  <c r="U23" i="31"/>
  <c r="C823" i="12"/>
  <c r="L77" i="33"/>
  <c r="S368" i="11"/>
  <c r="O16" i="31"/>
  <c r="N16" i="31"/>
  <c r="R16" i="31"/>
  <c r="S16" i="31"/>
  <c r="L153" i="33"/>
  <c r="P526" i="11"/>
  <c r="Q16" i="31"/>
  <c r="L93" i="33"/>
  <c r="U526" i="11"/>
  <c r="S526" i="11"/>
  <c r="H679" i="12"/>
  <c r="I679" i="12" s="1"/>
  <c r="L679" i="12" s="1"/>
  <c r="L165" i="33"/>
  <c r="L171" i="33"/>
  <c r="L125" i="33"/>
  <c r="L967" i="14"/>
  <c r="L973" i="14"/>
  <c r="L945" i="14"/>
  <c r="L101" i="33"/>
  <c r="L109" i="33"/>
  <c r="L117" i="33"/>
  <c r="L159" i="33"/>
  <c r="L141" i="33"/>
  <c r="L147" i="33"/>
  <c r="L135" i="33"/>
  <c r="L85" i="33"/>
  <c r="L69" i="33"/>
  <c r="L127" i="33" s="1"/>
  <c r="O557" i="13"/>
  <c r="H557" i="13"/>
  <c r="M557" i="13"/>
  <c r="H526" i="11"/>
  <c r="H815" i="12"/>
  <c r="L1042" i="14"/>
  <c r="L1060" i="14"/>
  <c r="L1027" i="14"/>
  <c r="H1089" i="14"/>
  <c r="L1089" i="14" s="1"/>
  <c r="H1090" i="14"/>
  <c r="L1090" i="14" s="1"/>
  <c r="L1113" i="14"/>
  <c r="L1114" i="14"/>
  <c r="L1115" i="14"/>
  <c r="L1116" i="14"/>
  <c r="D1117" i="14"/>
  <c r="D1136" i="14"/>
  <c r="L1134" i="14"/>
  <c r="L1135" i="14"/>
  <c r="L1133" i="14"/>
  <c r="L1112" i="14"/>
  <c r="L1131" i="14"/>
  <c r="L1132" i="14"/>
  <c r="L1109" i="14"/>
  <c r="L1110" i="14"/>
  <c r="L1111" i="14"/>
  <c r="L1128" i="14"/>
  <c r="L1129" i="14"/>
  <c r="L1130" i="14"/>
  <c r="D1120" i="14"/>
  <c r="H1119" i="14"/>
  <c r="L1119" i="14" s="1"/>
  <c r="L1120" i="14" s="1"/>
  <c r="H1088" i="14"/>
  <c r="L1088" i="14" s="1"/>
  <c r="H1097" i="14"/>
  <c r="L1097" i="14" s="1"/>
  <c r="H1096" i="14"/>
  <c r="L1096" i="14" s="1"/>
  <c r="H1095" i="14"/>
  <c r="L1095" i="14" s="1"/>
  <c r="H1094" i="14"/>
  <c r="L1094" i="14" s="1"/>
  <c r="D1086" i="14"/>
  <c r="D1163" i="14" s="1"/>
  <c r="H1084" i="14"/>
  <c r="L1084" i="14" s="1"/>
  <c r="L179" i="33" l="1"/>
  <c r="I815" i="12"/>
  <c r="I823" i="12" s="1"/>
  <c r="H823" i="12"/>
  <c r="L1092" i="14"/>
  <c r="U16" i="31"/>
  <c r="U17" i="31"/>
  <c r="L1099" i="14"/>
  <c r="L1086" i="14"/>
  <c r="C16" i="21"/>
  <c r="C12" i="21"/>
  <c r="C109" i="21"/>
  <c r="X109" i="21"/>
  <c r="D651" i="12"/>
  <c r="P377" i="11"/>
  <c r="C88" i="21"/>
  <c r="C81" i="21"/>
  <c r="C65" i="21"/>
  <c r="C97" i="21"/>
  <c r="O514" i="13" l="1"/>
  <c r="N672" i="12"/>
  <c r="O672" i="12"/>
  <c r="D690" i="14" l="1"/>
  <c r="C96" i="13"/>
  <c r="M96" i="13" s="1"/>
  <c r="C136" i="12"/>
  <c r="H136" i="12" s="1"/>
  <c r="I136" i="12" s="1"/>
  <c r="L136" i="12" s="1"/>
  <c r="M97" i="13"/>
  <c r="V108" i="21"/>
  <c r="AD108" i="21" s="1"/>
  <c r="V109" i="21"/>
  <c r="G173" i="13" l="1"/>
  <c r="H173" i="13"/>
  <c r="M173" i="13"/>
  <c r="N173" i="13"/>
  <c r="C173" i="13"/>
  <c r="K95" i="13"/>
  <c r="K94" i="13"/>
  <c r="G167" i="11"/>
  <c r="O167" i="11"/>
  <c r="T167" i="11"/>
  <c r="C167" i="11"/>
  <c r="U94" i="11"/>
  <c r="U95" i="11"/>
  <c r="U93" i="11"/>
  <c r="H93" i="11"/>
  <c r="S93" i="11" s="1"/>
  <c r="H94" i="11"/>
  <c r="S94" i="11" s="1"/>
  <c r="H95" i="11"/>
  <c r="S95" i="11" s="1"/>
  <c r="D15" i="13"/>
  <c r="D14" i="13"/>
  <c r="D13" i="13"/>
  <c r="D12" i="13"/>
  <c r="N249" i="12"/>
  <c r="O249" i="12"/>
  <c r="C133" i="12"/>
  <c r="H133" i="12" s="1"/>
  <c r="I133" i="12" s="1"/>
  <c r="L133" i="12" s="1"/>
  <c r="C135" i="12"/>
  <c r="H135" i="12" s="1"/>
  <c r="I135" i="12" s="1"/>
  <c r="L135" i="12" s="1"/>
  <c r="C138" i="12"/>
  <c r="H138" i="12" s="1"/>
  <c r="I138" i="12" s="1"/>
  <c r="L138" i="12" s="1"/>
  <c r="D137" i="12"/>
  <c r="C137" i="12" s="1"/>
  <c r="L137" i="12" s="1"/>
  <c r="D134" i="12"/>
  <c r="C134" i="12" s="1"/>
  <c r="L134" i="12" s="1"/>
  <c r="D131" i="12"/>
  <c r="C131" i="12" s="1"/>
  <c r="C132" i="12"/>
  <c r="H132" i="12" s="1"/>
  <c r="L258" i="14"/>
  <c r="D258" i="14"/>
  <c r="H261" i="14"/>
  <c r="L261" i="14" s="1"/>
  <c r="H262" i="14"/>
  <c r="L262" i="14" s="1"/>
  <c r="H263" i="14"/>
  <c r="L263" i="14" s="1"/>
  <c r="H264" i="14"/>
  <c r="L264" i="14" s="1"/>
  <c r="H265" i="14"/>
  <c r="L265" i="14" s="1"/>
  <c r="H266" i="14"/>
  <c r="L266" i="14" s="1"/>
  <c r="D267" i="14"/>
  <c r="D1177" i="14" s="1"/>
  <c r="H260" i="14"/>
  <c r="L260" i="14" s="1"/>
  <c r="D254" i="14"/>
  <c r="H252" i="14"/>
  <c r="L252" i="14" s="1"/>
  <c r="H253" i="14"/>
  <c r="L253" i="14" s="1"/>
  <c r="D205" i="14"/>
  <c r="H203" i="14"/>
  <c r="L203" i="14" s="1"/>
  <c r="H204" i="14"/>
  <c r="L204" i="14" s="1"/>
  <c r="D1166" i="14" l="1"/>
  <c r="L1166" i="14" s="1"/>
  <c r="I132" i="12"/>
  <c r="L131" i="12"/>
  <c r="L267" i="14"/>
  <c r="C17" i="12"/>
  <c r="H17" i="12" s="1"/>
  <c r="I17" i="12" s="1"/>
  <c r="L17" i="12" s="1"/>
  <c r="C18" i="12"/>
  <c r="H18" i="12" s="1"/>
  <c r="I18" i="12" s="1"/>
  <c r="L18" i="12" s="1"/>
  <c r="AD107" i="21"/>
  <c r="U109" i="21"/>
  <c r="AD109" i="21" s="1"/>
  <c r="G89" i="13"/>
  <c r="H89" i="13"/>
  <c r="M89" i="13"/>
  <c r="N89" i="13"/>
  <c r="C89" i="13"/>
  <c r="Q14" i="13"/>
  <c r="P14" i="13"/>
  <c r="I14" i="13"/>
  <c r="K13" i="13"/>
  <c r="K12" i="13"/>
  <c r="D14" i="11"/>
  <c r="U14" i="11" s="1"/>
  <c r="D13" i="11"/>
  <c r="U13" i="11" s="1"/>
  <c r="O88" i="11"/>
  <c r="T88" i="11"/>
  <c r="C88" i="11"/>
  <c r="G13" i="11"/>
  <c r="H13" i="11" s="1"/>
  <c r="S13" i="11" s="1"/>
  <c r="G14" i="11"/>
  <c r="H14" i="11" s="1"/>
  <c r="S14" i="11" s="1"/>
  <c r="N126" i="12"/>
  <c r="O126" i="12"/>
  <c r="D15" i="12"/>
  <c r="C15" i="12" s="1"/>
  <c r="L15" i="12" s="1"/>
  <c r="D13" i="12"/>
  <c r="C13" i="12" s="1"/>
  <c r="L13" i="12" s="1"/>
  <c r="C16" i="12"/>
  <c r="H16" i="12" s="1"/>
  <c r="I16" i="12" s="1"/>
  <c r="L16" i="12" s="1"/>
  <c r="C14" i="12"/>
  <c r="H14" i="12" s="1"/>
  <c r="I14" i="12" s="1"/>
  <c r="L14" i="12" s="1"/>
  <c r="C19" i="12"/>
  <c r="D133" i="14"/>
  <c r="D1176" i="14" s="1"/>
  <c r="H132" i="14"/>
  <c r="L132" i="14" s="1"/>
  <c r="H66" i="14"/>
  <c r="L66" i="14" s="1"/>
  <c r="D67" i="14"/>
  <c r="H115" i="14"/>
  <c r="L115" i="14" s="1"/>
  <c r="D116" i="14"/>
  <c r="L132" i="12" l="1"/>
  <c r="H688" i="14"/>
  <c r="L688" i="14" s="1"/>
  <c r="L690" i="14" s="1"/>
  <c r="H541" i="14"/>
  <c r="L541" i="14" s="1"/>
  <c r="D542" i="14"/>
  <c r="H410" i="14"/>
  <c r="L410" i="14" s="1"/>
  <c r="D411" i="14"/>
  <c r="H1068" i="14"/>
  <c r="L1068" i="14" s="1"/>
  <c r="H1067" i="14"/>
  <c r="L1067" i="14" s="1"/>
  <c r="H1066" i="14"/>
  <c r="L1066" i="14" s="1"/>
  <c r="H1065" i="14"/>
  <c r="L1065" i="14" s="1"/>
  <c r="H1064" i="14"/>
  <c r="L1064" i="14" s="1"/>
  <c r="H1063" i="14"/>
  <c r="L1063" i="14" s="1"/>
  <c r="H1062" i="14"/>
  <c r="L1062" i="14" s="1"/>
  <c r="H989" i="14"/>
  <c r="L989" i="14" s="1"/>
  <c r="D295" i="14"/>
  <c r="H293" i="14"/>
  <c r="L293" i="14" s="1"/>
  <c r="H818" i="14"/>
  <c r="L818" i="14" s="1"/>
  <c r="H677" i="14"/>
  <c r="L677" i="14" s="1"/>
  <c r="H681" i="14"/>
  <c r="L681" i="14" s="1"/>
  <c r="D678" i="14"/>
  <c r="H533" i="14"/>
  <c r="L533" i="14" s="1"/>
  <c r="H523" i="14"/>
  <c r="L523" i="14" s="1"/>
  <c r="H524" i="14"/>
  <c r="L524" i="14" s="1"/>
  <c r="H525" i="14"/>
  <c r="L525" i="14" s="1"/>
  <c r="H526" i="14"/>
  <c r="L526" i="14" s="1"/>
  <c r="H527" i="14"/>
  <c r="L527" i="14" s="1"/>
  <c r="H528" i="14"/>
  <c r="L528" i="14" s="1"/>
  <c r="H529" i="14"/>
  <c r="H540" i="14"/>
  <c r="L540" i="14" s="1"/>
  <c r="D534" i="14"/>
  <c r="H532" i="14"/>
  <c r="L532" i="14" s="1"/>
  <c r="H419" i="14"/>
  <c r="L419" i="14" s="1"/>
  <c r="H399" i="14"/>
  <c r="L399" i="14" s="1"/>
  <c r="H400" i="14"/>
  <c r="L400" i="14" s="1"/>
  <c r="H401" i="14"/>
  <c r="L401" i="14" s="1"/>
  <c r="H402" i="14"/>
  <c r="L402" i="14" s="1"/>
  <c r="H403" i="14"/>
  <c r="L403" i="14" s="1"/>
  <c r="H404" i="14"/>
  <c r="L404" i="14" s="1"/>
  <c r="H405" i="14"/>
  <c r="L405" i="14" s="1"/>
  <c r="H406" i="14"/>
  <c r="L406" i="14" s="1"/>
  <c r="H407" i="14"/>
  <c r="L407" i="14" s="1"/>
  <c r="H408" i="14"/>
  <c r="H409" i="14"/>
  <c r="H280" i="14"/>
  <c r="L280" i="14" s="1"/>
  <c r="H281" i="14"/>
  <c r="L281" i="14" s="1"/>
  <c r="H282" i="14"/>
  <c r="L282" i="14" s="1"/>
  <c r="H283" i="14"/>
  <c r="L283" i="14" s="1"/>
  <c r="H284" i="14"/>
  <c r="L284" i="14" s="1"/>
  <c r="H285" i="14"/>
  <c r="L285" i="14" s="1"/>
  <c r="H141" i="14"/>
  <c r="L141" i="14" s="1"/>
  <c r="H142" i="14"/>
  <c r="L142" i="14" s="1"/>
  <c r="H143" i="14"/>
  <c r="L143" i="14" s="1"/>
  <c r="H65" i="14"/>
  <c r="L65" i="14" s="1"/>
  <c r="L1168" i="14" l="1"/>
  <c r="D1169" i="14"/>
  <c r="L1169" i="14" s="1"/>
  <c r="L295" i="14"/>
  <c r="L534" i="14"/>
  <c r="L1148" i="14" s="1"/>
  <c r="H539" i="14"/>
  <c r="L539" i="14" s="1"/>
  <c r="H538" i="14"/>
  <c r="L538" i="14" s="1"/>
  <c r="H537" i="14"/>
  <c r="L537" i="14" s="1"/>
  <c r="H536" i="14"/>
  <c r="L536" i="14" s="1"/>
  <c r="D530" i="14"/>
  <c r="L529" i="14"/>
  <c r="H522" i="14"/>
  <c r="L522" i="14" s="1"/>
  <c r="H521" i="14"/>
  <c r="L521" i="14" s="1"/>
  <c r="L409" i="14"/>
  <c r="L408" i="14"/>
  <c r="H398" i="14"/>
  <c r="L398" i="14" s="1"/>
  <c r="D287" i="14"/>
  <c r="L1177" i="14" s="1"/>
  <c r="H286" i="14"/>
  <c r="L286" i="14" s="1"/>
  <c r="H279" i="14"/>
  <c r="L279" i="14" s="1"/>
  <c r="H278" i="14"/>
  <c r="L278" i="14" s="1"/>
  <c r="H277" i="14"/>
  <c r="L277" i="14" s="1"/>
  <c r="D275" i="14"/>
  <c r="D1156" i="14" s="1"/>
  <c r="L1156" i="14" s="1"/>
  <c r="H273" i="14"/>
  <c r="L273" i="14" s="1"/>
  <c r="D150" i="14"/>
  <c r="L1176" i="14" s="1"/>
  <c r="H149" i="14"/>
  <c r="L149" i="14" s="1"/>
  <c r="H148" i="14"/>
  <c r="L148" i="14" s="1"/>
  <c r="H147" i="14"/>
  <c r="L147" i="14" s="1"/>
  <c r="D145" i="14"/>
  <c r="H144" i="14"/>
  <c r="L144" i="14" s="1"/>
  <c r="H140" i="14"/>
  <c r="L140" i="14" s="1"/>
  <c r="H139" i="14"/>
  <c r="L139" i="14" s="1"/>
  <c r="L542" i="14" l="1"/>
  <c r="L411" i="14"/>
  <c r="L530" i="14"/>
  <c r="L275" i="14"/>
  <c r="L287" i="14"/>
  <c r="L145" i="14"/>
  <c r="L150" i="14"/>
  <c r="Z161" i="21"/>
  <c r="W161" i="21"/>
  <c r="V161" i="21"/>
  <c r="U161" i="21"/>
  <c r="P161" i="21"/>
  <c r="AD161" i="21" l="1"/>
  <c r="S105" i="28"/>
  <c r="T105" i="28" s="1"/>
  <c r="H106" i="28"/>
  <c r="S106" i="28" s="1"/>
  <c r="T106" i="28" s="1"/>
  <c r="H105" i="28"/>
  <c r="D64" i="24"/>
  <c r="D60" i="24"/>
  <c r="H62" i="24"/>
  <c r="L62" i="24" s="1"/>
  <c r="L64" i="24" s="1"/>
  <c r="H1070" i="14"/>
  <c r="L1070" i="14" s="1"/>
  <c r="L58" i="24"/>
  <c r="H59" i="24"/>
  <c r="L59" i="24" s="1"/>
  <c r="L60" i="24" s="1"/>
  <c r="H63" i="24"/>
  <c r="L63" i="24" s="1"/>
  <c r="H58" i="24"/>
  <c r="S32" i="31"/>
  <c r="H1127" i="14"/>
  <c r="L1127" i="14" s="1"/>
  <c r="H1126" i="14"/>
  <c r="L1126" i="14" s="1"/>
  <c r="H1125" i="14"/>
  <c r="L1125" i="14" s="1"/>
  <c r="H1124" i="14"/>
  <c r="L1124" i="14" s="1"/>
  <c r="H1123" i="14"/>
  <c r="L1123" i="14" s="1"/>
  <c r="H1122" i="14"/>
  <c r="L1122" i="14" s="1"/>
  <c r="L52" i="24"/>
  <c r="L54" i="24" s="1"/>
  <c r="L46" i="24"/>
  <c r="L48" i="24" s="1"/>
  <c r="L41" i="24"/>
  <c r="L40" i="24"/>
  <c r="H59" i="28"/>
  <c r="S59" i="28" s="1"/>
  <c r="T59" i="28" s="1"/>
  <c r="L28" i="24"/>
  <c r="L27" i="24"/>
  <c r="L26" i="24"/>
  <c r="L25" i="24"/>
  <c r="L24" i="24"/>
  <c r="L23" i="24"/>
  <c r="L22" i="24"/>
  <c r="D289" i="12"/>
  <c r="T194" i="11"/>
  <c r="Q49" i="34"/>
  <c r="R49" i="34" s="1"/>
  <c r="H49" i="34"/>
  <c r="U32" i="31" l="1"/>
  <c r="U34" i="31" s="1"/>
  <c r="L1136" i="14"/>
  <c r="L42" i="24"/>
  <c r="S27" i="31" l="1"/>
  <c r="L15" i="24"/>
  <c r="L16" i="24"/>
  <c r="L17" i="24"/>
  <c r="L18" i="24"/>
  <c r="L19" i="24"/>
  <c r="L20" i="24"/>
  <c r="L21" i="24"/>
  <c r="L14" i="24"/>
  <c r="H13" i="24"/>
  <c r="L13" i="24" s="1"/>
  <c r="H12" i="24"/>
  <c r="L12" i="24" s="1"/>
  <c r="X122" i="21"/>
  <c r="AD122" i="21" s="1"/>
  <c r="H652" i="14"/>
  <c r="L652" i="14" s="1"/>
  <c r="H645" i="14"/>
  <c r="L645" i="14" s="1"/>
  <c r="H158" i="14"/>
  <c r="L158" i="14" s="1"/>
  <c r="U27" i="31" l="1"/>
  <c r="U28" i="31" s="1"/>
  <c r="L29" i="24"/>
  <c r="Y32" i="21"/>
  <c r="Y29" i="21"/>
  <c r="Z21" i="21"/>
  <c r="AD21" i="21" s="1"/>
  <c r="Z29" i="21"/>
  <c r="Z33" i="21"/>
  <c r="AD33" i="21" s="1"/>
  <c r="AD32" i="21"/>
  <c r="X23" i="21"/>
  <c r="AB28" i="21"/>
  <c r="AD28" i="21" s="1"/>
  <c r="C34" i="21"/>
  <c r="W26" i="21"/>
  <c r="AD26" i="21" s="1"/>
  <c r="AD29" i="21" l="1"/>
  <c r="O526" i="13"/>
  <c r="O527" i="13"/>
  <c r="O528" i="13"/>
  <c r="O529" i="13"/>
  <c r="O530" i="13"/>
  <c r="O531" i="13"/>
  <c r="O532" i="13"/>
  <c r="O533" i="13"/>
  <c r="O534" i="13"/>
  <c r="O535" i="13"/>
  <c r="O536" i="13"/>
  <c r="O537" i="13"/>
  <c r="O538" i="13"/>
  <c r="O539" i="13"/>
  <c r="O540" i="13"/>
  <c r="O541" i="13"/>
  <c r="O542" i="13"/>
  <c r="O525" i="13"/>
  <c r="P50" i="11"/>
  <c r="P48" i="11"/>
  <c r="P47" i="11"/>
  <c r="P45" i="11"/>
  <c r="P44" i="11"/>
  <c r="P42" i="11"/>
  <c r="O503" i="13"/>
  <c r="O515" i="13" s="1"/>
  <c r="O443" i="13"/>
  <c r="O425" i="13"/>
  <c r="O401" i="13"/>
  <c r="O365" i="13"/>
  <c r="O307" i="13"/>
  <c r="O308" i="13"/>
  <c r="O309" i="13"/>
  <c r="O306" i="13"/>
  <c r="O294" i="13"/>
  <c r="O224" i="13"/>
  <c r="O194" i="13"/>
  <c r="O171" i="13"/>
  <c r="O146" i="13"/>
  <c r="O173" i="13" s="1"/>
  <c r="O80" i="13"/>
  <c r="O79" i="13"/>
  <c r="O78" i="13"/>
  <c r="O77" i="13"/>
  <c r="O76" i="13"/>
  <c r="O75" i="13"/>
  <c r="O74" i="13"/>
  <c r="O73" i="13"/>
  <c r="O72" i="13"/>
  <c r="O71" i="13"/>
  <c r="O54" i="13"/>
  <c r="O28" i="13"/>
  <c r="V499" i="11"/>
  <c r="V514" i="11" s="1"/>
  <c r="D803" i="12"/>
  <c r="C803" i="12" s="1"/>
  <c r="L803" i="12" s="1"/>
  <c r="D801" i="12"/>
  <c r="D799" i="12"/>
  <c r="C799" i="12" s="1"/>
  <c r="L799" i="12" s="1"/>
  <c r="D779" i="12"/>
  <c r="C779" i="12" s="1"/>
  <c r="L779" i="12" s="1"/>
  <c r="D777" i="12"/>
  <c r="C777" i="12" s="1"/>
  <c r="L777" i="12" s="1"/>
  <c r="U507" i="11"/>
  <c r="U504" i="11"/>
  <c r="U503" i="11"/>
  <c r="U502" i="11"/>
  <c r="U501" i="11"/>
  <c r="U500" i="11"/>
  <c r="U498" i="11"/>
  <c r="U495" i="11"/>
  <c r="U494" i="11"/>
  <c r="H507" i="11"/>
  <c r="S507" i="11" s="1"/>
  <c r="H508" i="11"/>
  <c r="P508" i="11" s="1"/>
  <c r="H509" i="11"/>
  <c r="P509" i="11" s="1"/>
  <c r="H510" i="11"/>
  <c r="P510" i="11" s="1"/>
  <c r="H511" i="11"/>
  <c r="P511" i="11" s="1"/>
  <c r="H512" i="11"/>
  <c r="P512" i="11" s="1"/>
  <c r="H513" i="11"/>
  <c r="P513" i="11" s="1"/>
  <c r="H506" i="11"/>
  <c r="Q506" i="11" s="1"/>
  <c r="H505" i="11"/>
  <c r="H504" i="11"/>
  <c r="S504" i="11" s="1"/>
  <c r="H503" i="11"/>
  <c r="S503" i="11" s="1"/>
  <c r="H502" i="11"/>
  <c r="S502" i="11" s="1"/>
  <c r="H501" i="11"/>
  <c r="S501" i="11" s="1"/>
  <c r="H500" i="11"/>
  <c r="S500" i="11" s="1"/>
  <c r="H499" i="11"/>
  <c r="R499" i="11" s="1"/>
  <c r="R514" i="11" s="1"/>
  <c r="H498" i="11"/>
  <c r="S498" i="11" s="1"/>
  <c r="H495" i="11"/>
  <c r="S495" i="11" s="1"/>
  <c r="H494" i="11"/>
  <c r="C804" i="12"/>
  <c r="H804" i="12" s="1"/>
  <c r="I804" i="12" s="1"/>
  <c r="L804" i="12" s="1"/>
  <c r="C802" i="12"/>
  <c r="H802" i="12" s="1"/>
  <c r="I802" i="12" s="1"/>
  <c r="L802" i="12" s="1"/>
  <c r="C800" i="12"/>
  <c r="H800" i="12" s="1"/>
  <c r="I800" i="12" s="1"/>
  <c r="L800" i="12" s="1"/>
  <c r="C798" i="12"/>
  <c r="H798" i="12" s="1"/>
  <c r="I798" i="12" s="1"/>
  <c r="M798" i="12" s="1"/>
  <c r="D788" i="12"/>
  <c r="C788" i="12" s="1"/>
  <c r="L788" i="12" s="1"/>
  <c r="C790" i="12"/>
  <c r="H790" i="12" s="1"/>
  <c r="I790" i="12" s="1"/>
  <c r="L790" i="12" s="1"/>
  <c r="D1162" i="14"/>
  <c r="L1162" i="14" s="1"/>
  <c r="C796" i="12"/>
  <c r="H796" i="12" s="1"/>
  <c r="I796" i="12" s="1"/>
  <c r="L796" i="12" s="1"/>
  <c r="D795" i="12"/>
  <c r="C795" i="12" s="1"/>
  <c r="L795" i="12" s="1"/>
  <c r="D793" i="12"/>
  <c r="C793" i="12" s="1"/>
  <c r="L793" i="12" s="1"/>
  <c r="C794" i="12"/>
  <c r="H794" i="12" s="1"/>
  <c r="I794" i="12" s="1"/>
  <c r="L794" i="12" s="1"/>
  <c r="D791" i="12"/>
  <c r="C791" i="12" s="1"/>
  <c r="Q791" i="12" s="1"/>
  <c r="C792" i="12"/>
  <c r="H792" i="12" s="1"/>
  <c r="J792" i="12" s="1"/>
  <c r="Q792" i="12" s="1"/>
  <c r="C789" i="12"/>
  <c r="H789" i="12" s="1"/>
  <c r="I789" i="12" s="1"/>
  <c r="L789" i="12" s="1"/>
  <c r="C784" i="12"/>
  <c r="H784" i="12" s="1"/>
  <c r="I784" i="12" s="1"/>
  <c r="L784" i="12" s="1"/>
  <c r="C780" i="12"/>
  <c r="H780" i="12" s="1"/>
  <c r="I780" i="12" s="1"/>
  <c r="L780" i="12" s="1"/>
  <c r="C778" i="12"/>
  <c r="H778" i="12" s="1"/>
  <c r="I778" i="12" s="1"/>
  <c r="L778" i="12" s="1"/>
  <c r="C775" i="12"/>
  <c r="H775" i="12" s="1"/>
  <c r="I775" i="12" s="1"/>
  <c r="L775" i="12" s="1"/>
  <c r="D774" i="12"/>
  <c r="C774" i="12" s="1"/>
  <c r="L774" i="12" s="1"/>
  <c r="D805" i="12"/>
  <c r="C805" i="12" s="1"/>
  <c r="H805" i="12" s="1"/>
  <c r="I805" i="12" s="1"/>
  <c r="M805" i="12" s="1"/>
  <c r="C806" i="12"/>
  <c r="H806" i="12" s="1"/>
  <c r="I806" i="12" s="1"/>
  <c r="M806" i="12" s="1"/>
  <c r="C776" i="12"/>
  <c r="L776" i="12" s="1"/>
  <c r="C781" i="12"/>
  <c r="L781" i="12" s="1"/>
  <c r="C782" i="12"/>
  <c r="P782" i="12" s="1"/>
  <c r="C785" i="12"/>
  <c r="L785" i="12" s="1"/>
  <c r="C787" i="12"/>
  <c r="L787" i="12" s="1"/>
  <c r="C797" i="12"/>
  <c r="M797" i="12" s="1"/>
  <c r="C801" i="12"/>
  <c r="L801" i="12" s="1"/>
  <c r="C807" i="12"/>
  <c r="H807" i="12" s="1"/>
  <c r="I807" i="12" s="1"/>
  <c r="D786" i="12"/>
  <c r="C786" i="12" s="1"/>
  <c r="L786" i="12" s="1"/>
  <c r="D783" i="12"/>
  <c r="C783" i="12" s="1"/>
  <c r="L783" i="12" s="1"/>
  <c r="H846" i="14"/>
  <c r="L846" i="14" s="1"/>
  <c r="H847" i="14"/>
  <c r="L847" i="14" s="1"/>
  <c r="H848" i="14"/>
  <c r="L848" i="14" s="1"/>
  <c r="O311" i="13" l="1"/>
  <c r="O244" i="13"/>
  <c r="O454" i="13"/>
  <c r="H514" i="11"/>
  <c r="P514" i="11"/>
  <c r="O546" i="13"/>
  <c r="U514" i="11"/>
  <c r="Q505" i="11"/>
  <c r="Q514" i="11" s="1"/>
  <c r="S494" i="11"/>
  <c r="S514" i="11" s="1"/>
  <c r="O89" i="13"/>
  <c r="H845" i="14"/>
  <c r="L845" i="14" s="1"/>
  <c r="L853" i="14" s="1"/>
  <c r="H1107" i="14"/>
  <c r="L1107" i="14" s="1"/>
  <c r="H1108" i="14"/>
  <c r="L1108" i="14" s="1"/>
  <c r="H978" i="14"/>
  <c r="L978" i="14" s="1"/>
  <c r="H977" i="14"/>
  <c r="L977" i="14" s="1"/>
  <c r="H976" i="14"/>
  <c r="L976" i="14" s="1"/>
  <c r="H975" i="14"/>
  <c r="L975" i="14" s="1"/>
  <c r="L1163" i="14"/>
  <c r="H1106" i="14"/>
  <c r="L1106" i="14" s="1"/>
  <c r="H1105" i="14"/>
  <c r="L1105" i="14" s="1"/>
  <c r="AB65" i="21"/>
  <c r="AB16" i="21"/>
  <c r="AB34" i="21"/>
  <c r="AB12" i="21"/>
  <c r="H1071" i="14"/>
  <c r="L1071" i="14" s="1"/>
  <c r="H1072" i="14"/>
  <c r="L1072" i="14" s="1"/>
  <c r="H1050" i="14"/>
  <c r="L1050" i="14" s="1"/>
  <c r="H995" i="14"/>
  <c r="L995" i="14" s="1"/>
  <c r="L982" i="14" l="1"/>
  <c r="L1117" i="14"/>
  <c r="H1069" i="14"/>
  <c r="L1069" i="14" s="1"/>
  <c r="L1078" i="14" s="1"/>
  <c r="L1149" i="14" s="1"/>
  <c r="H1049" i="14"/>
  <c r="L1049" i="14" s="1"/>
  <c r="H1048" i="14"/>
  <c r="L1048" i="14" s="1"/>
  <c r="D1021" i="14"/>
  <c r="H1020" i="14"/>
  <c r="L1020" i="14" s="1"/>
  <c r="H1019" i="14"/>
  <c r="L1019" i="14" s="1"/>
  <c r="H1018" i="14"/>
  <c r="L1018" i="14" s="1"/>
  <c r="H1017" i="14"/>
  <c r="L1017" i="14" s="1"/>
  <c r="H1016" i="14"/>
  <c r="L1016" i="14" s="1"/>
  <c r="H1015" i="14"/>
  <c r="L1015" i="14" s="1"/>
  <c r="H1014" i="14"/>
  <c r="L1014" i="14" s="1"/>
  <c r="H1013" i="14"/>
  <c r="L1013" i="14" s="1"/>
  <c r="H1012" i="14"/>
  <c r="L1012" i="14" s="1"/>
  <c r="H1011" i="14"/>
  <c r="L1011" i="14" s="1"/>
  <c r="H1010" i="14"/>
  <c r="L1010" i="14" s="1"/>
  <c r="H1009" i="14"/>
  <c r="L1009" i="14" s="1"/>
  <c r="H1008" i="14"/>
  <c r="L1008" i="14" s="1"/>
  <c r="H1002" i="14"/>
  <c r="L1002" i="14" s="1"/>
  <c r="H1001" i="14"/>
  <c r="L1001" i="14" s="1"/>
  <c r="H1000" i="14"/>
  <c r="L1000" i="14" s="1"/>
  <c r="H999" i="14"/>
  <c r="L999" i="14" s="1"/>
  <c r="H998" i="14"/>
  <c r="L998" i="14" s="1"/>
  <c r="H997" i="14"/>
  <c r="L997" i="14" s="1"/>
  <c r="H996" i="14"/>
  <c r="L996" i="14" s="1"/>
  <c r="H994" i="14"/>
  <c r="L994" i="14" s="1"/>
  <c r="H993" i="14"/>
  <c r="L993" i="14" s="1"/>
  <c r="H992" i="14"/>
  <c r="L992" i="14" s="1"/>
  <c r="H991" i="14"/>
  <c r="L991" i="14" s="1"/>
  <c r="H990" i="14"/>
  <c r="L990" i="14" s="1"/>
  <c r="H988" i="14"/>
  <c r="L988" i="14" s="1"/>
  <c r="H897" i="14"/>
  <c r="L897" i="14" s="1"/>
  <c r="D747" i="12"/>
  <c r="D741" i="12"/>
  <c r="C740" i="12"/>
  <c r="H740" i="12" s="1"/>
  <c r="I740" i="12" s="1"/>
  <c r="M740" i="12" s="1"/>
  <c r="D739" i="12"/>
  <c r="D737" i="12"/>
  <c r="C738" i="12"/>
  <c r="H738" i="12" s="1"/>
  <c r="J738" i="12" s="1"/>
  <c r="Q738" i="12" s="1"/>
  <c r="D727" i="12"/>
  <c r="C728" i="12"/>
  <c r="H728" i="12" s="1"/>
  <c r="I728" i="12" s="1"/>
  <c r="L728" i="12" s="1"/>
  <c r="C726" i="12"/>
  <c r="H726" i="12" s="1"/>
  <c r="I726" i="12" s="1"/>
  <c r="L726" i="12" s="1"/>
  <c r="D721" i="12"/>
  <c r="C722" i="12"/>
  <c r="H722" i="12" s="1"/>
  <c r="I722" i="12" s="1"/>
  <c r="L722" i="12" s="1"/>
  <c r="D716" i="12"/>
  <c r="C717" i="12"/>
  <c r="H717" i="12" s="1"/>
  <c r="I717" i="12" s="1"/>
  <c r="L717" i="12" s="1"/>
  <c r="C712" i="12"/>
  <c r="H712" i="12" s="1"/>
  <c r="I712" i="12" s="1"/>
  <c r="L712" i="12" s="1"/>
  <c r="D708" i="12"/>
  <c r="D706" i="12"/>
  <c r="D702" i="12"/>
  <c r="D689" i="12"/>
  <c r="L1182" i="14"/>
  <c r="H949" i="14"/>
  <c r="L949" i="14" s="1"/>
  <c r="H947" i="14"/>
  <c r="L947" i="14" s="1"/>
  <c r="D939" i="14"/>
  <c r="H938" i="14"/>
  <c r="L938" i="14" s="1"/>
  <c r="H937" i="14"/>
  <c r="L937" i="14" s="1"/>
  <c r="D933" i="14"/>
  <c r="H932" i="14"/>
  <c r="L932" i="14" s="1"/>
  <c r="H931" i="14"/>
  <c r="L931" i="14" s="1"/>
  <c r="H930" i="14"/>
  <c r="L930" i="14" s="1"/>
  <c r="H929" i="14"/>
  <c r="L929" i="14" s="1"/>
  <c r="H928" i="14"/>
  <c r="L928" i="14" s="1"/>
  <c r="H927" i="14"/>
  <c r="L927" i="14" s="1"/>
  <c r="H926" i="14"/>
  <c r="L926" i="14" s="1"/>
  <c r="H925" i="14"/>
  <c r="L925" i="14" s="1"/>
  <c r="H924" i="14"/>
  <c r="L924" i="14" s="1"/>
  <c r="H923" i="14"/>
  <c r="L923" i="14" s="1"/>
  <c r="H922" i="14"/>
  <c r="L922" i="14" s="1"/>
  <c r="H921" i="14"/>
  <c r="L921" i="14" s="1"/>
  <c r="H920" i="14"/>
  <c r="L920" i="14" s="1"/>
  <c r="H919" i="14"/>
  <c r="L919" i="14" s="1"/>
  <c r="H918" i="14"/>
  <c r="L918" i="14" s="1"/>
  <c r="H917" i="14"/>
  <c r="L917" i="14" s="1"/>
  <c r="H916" i="14"/>
  <c r="L916" i="14" s="1"/>
  <c r="H915" i="14"/>
  <c r="L915" i="14" s="1"/>
  <c r="H914" i="14"/>
  <c r="L914" i="14" s="1"/>
  <c r="H913" i="14"/>
  <c r="L913" i="14" s="1"/>
  <c r="H912" i="14"/>
  <c r="L912" i="14" s="1"/>
  <c r="H911" i="14"/>
  <c r="L911" i="14" s="1"/>
  <c r="H910" i="14"/>
  <c r="L910" i="14" s="1"/>
  <c r="H909" i="14"/>
  <c r="L909" i="14" s="1"/>
  <c r="H908" i="14"/>
  <c r="L908" i="14" s="1"/>
  <c r="H907" i="14"/>
  <c r="L907" i="14" s="1"/>
  <c r="H906" i="14"/>
  <c r="L906" i="14" s="1"/>
  <c r="H905" i="14"/>
  <c r="L905" i="14" s="1"/>
  <c r="H904" i="14"/>
  <c r="L904" i="14" s="1"/>
  <c r="H903" i="14"/>
  <c r="L903" i="14" s="1"/>
  <c r="H896" i="14"/>
  <c r="L896" i="14" s="1"/>
  <c r="H895" i="14"/>
  <c r="L895" i="14" s="1"/>
  <c r="H894" i="14"/>
  <c r="L894" i="14" s="1"/>
  <c r="H893" i="14"/>
  <c r="L893" i="14" s="1"/>
  <c r="H892" i="14"/>
  <c r="L892" i="14" s="1"/>
  <c r="H891" i="14"/>
  <c r="L891" i="14" s="1"/>
  <c r="H890" i="14"/>
  <c r="L890" i="14" s="1"/>
  <c r="H889" i="14"/>
  <c r="L889" i="14" s="1"/>
  <c r="H888" i="14"/>
  <c r="L888" i="14" s="1"/>
  <c r="H887" i="14"/>
  <c r="L887" i="14" s="1"/>
  <c r="H886" i="14"/>
  <c r="L886" i="14" s="1"/>
  <c r="H885" i="14"/>
  <c r="L885" i="14" s="1"/>
  <c r="H884" i="14"/>
  <c r="L884" i="14" s="1"/>
  <c r="H883" i="14"/>
  <c r="L883" i="14" s="1"/>
  <c r="H882" i="14"/>
  <c r="L882" i="14" s="1"/>
  <c r="H881" i="14"/>
  <c r="L881" i="14" s="1"/>
  <c r="H880" i="14"/>
  <c r="L880" i="14" s="1"/>
  <c r="H879" i="14"/>
  <c r="L879" i="14" s="1"/>
  <c r="H878" i="14"/>
  <c r="L878" i="14" s="1"/>
  <c r="H877" i="14"/>
  <c r="L877" i="14" s="1"/>
  <c r="H876" i="14"/>
  <c r="L876" i="14" s="1"/>
  <c r="H875" i="14"/>
  <c r="L875" i="14" s="1"/>
  <c r="H874" i="14"/>
  <c r="L874" i="14" s="1"/>
  <c r="H873" i="14"/>
  <c r="L873" i="14" s="1"/>
  <c r="H872" i="14"/>
  <c r="L872" i="14" s="1"/>
  <c r="H871" i="14"/>
  <c r="L871" i="14" s="1"/>
  <c r="H870" i="14"/>
  <c r="L870" i="14" s="1"/>
  <c r="H869" i="14"/>
  <c r="L869" i="14" s="1"/>
  <c r="H868" i="14"/>
  <c r="L868" i="14" s="1"/>
  <c r="H867" i="14"/>
  <c r="L867" i="14" s="1"/>
  <c r="H866" i="14"/>
  <c r="L866" i="14" s="1"/>
  <c r="H865" i="14"/>
  <c r="L865" i="14" s="1"/>
  <c r="H864" i="14"/>
  <c r="L864" i="14" s="1"/>
  <c r="H863" i="14"/>
  <c r="L863" i="14" s="1"/>
  <c r="H862" i="14"/>
  <c r="L862" i="14" s="1"/>
  <c r="H861" i="14"/>
  <c r="L861" i="14" s="1"/>
  <c r="H860" i="14"/>
  <c r="L860" i="14" s="1"/>
  <c r="H859" i="14"/>
  <c r="L859" i="14" s="1"/>
  <c r="D128" i="14"/>
  <c r="D1155" i="14" s="1"/>
  <c r="L1155" i="14" s="1"/>
  <c r="D801" i="14"/>
  <c r="H747" i="14"/>
  <c r="L747" i="14" s="1"/>
  <c r="H739" i="14"/>
  <c r="L739" i="14" s="1"/>
  <c r="H706" i="14"/>
  <c r="L706" i="14" s="1"/>
  <c r="H700" i="14"/>
  <c r="L700" i="14" s="1"/>
  <c r="H701" i="14"/>
  <c r="L701" i="14" s="1"/>
  <c r="H702" i="14"/>
  <c r="L702" i="14" s="1"/>
  <c r="H703" i="14"/>
  <c r="L703" i="14" s="1"/>
  <c r="H704" i="14"/>
  <c r="L704" i="14" s="1"/>
  <c r="H705" i="14"/>
  <c r="L705" i="14" s="1"/>
  <c r="D1161" i="14" l="1"/>
  <c r="L1161" i="14" s="1"/>
  <c r="L1056" i="14"/>
  <c r="L1147" i="14" s="1"/>
  <c r="L899" i="14"/>
  <c r="L957" i="14"/>
  <c r="L1004" i="14"/>
  <c r="L1021" i="14"/>
  <c r="L933" i="14"/>
  <c r="L939" i="14"/>
  <c r="D666" i="12"/>
  <c r="C667" i="12"/>
  <c r="H667" i="12" s="1"/>
  <c r="I667" i="12" s="1"/>
  <c r="L667" i="12" s="1"/>
  <c r="D663" i="12"/>
  <c r="C656" i="12"/>
  <c r="H656" i="12" s="1"/>
  <c r="J656" i="12" s="1"/>
  <c r="P656" i="12" s="1"/>
  <c r="D655" i="12"/>
  <c r="D653" i="12"/>
  <c r="C652" i="12"/>
  <c r="H652" i="12" s="1"/>
  <c r="I652" i="12" s="1"/>
  <c r="M652" i="12" s="1"/>
  <c r="D646" i="12"/>
  <c r="D645" i="12"/>
  <c r="D639" i="12"/>
  <c r="D638" i="12"/>
  <c r="D637" i="12"/>
  <c r="D631" i="12"/>
  <c r="D629" i="12"/>
  <c r="C630" i="12"/>
  <c r="H630" i="12" s="1"/>
  <c r="I630" i="12" s="1"/>
  <c r="M630" i="12" s="1"/>
  <c r="C628" i="12"/>
  <c r="H628" i="12" s="1"/>
  <c r="J628" i="12" s="1"/>
  <c r="P628" i="12" s="1"/>
  <c r="D627" i="12"/>
  <c r="D618" i="12"/>
  <c r="C619" i="12"/>
  <c r="H619" i="12" s="1"/>
  <c r="J619" i="12" s="1"/>
  <c r="P619" i="12" s="1"/>
  <c r="D616" i="12"/>
  <c r="C617" i="12"/>
  <c r="H617" i="12" s="1"/>
  <c r="J617" i="12" s="1"/>
  <c r="P617" i="12" s="1"/>
  <c r="D611" i="12"/>
  <c r="C612" i="12"/>
  <c r="H612" i="12" s="1"/>
  <c r="I612" i="12" s="1"/>
  <c r="L612" i="12" s="1"/>
  <c r="D608" i="12"/>
  <c r="C609" i="12"/>
  <c r="H609" i="12" s="1"/>
  <c r="J609" i="12" s="1"/>
  <c r="P609" i="12" s="1"/>
  <c r="D606" i="12"/>
  <c r="D604" i="12"/>
  <c r="D602" i="12"/>
  <c r="C603" i="12"/>
  <c r="H603" i="12" s="1"/>
  <c r="I603" i="12" s="1"/>
  <c r="L603" i="12" s="1"/>
  <c r="D601" i="12"/>
  <c r="D599" i="12"/>
  <c r="D597" i="12"/>
  <c r="C598" i="12"/>
  <c r="H598" i="12" s="1"/>
  <c r="J598" i="12" s="1"/>
  <c r="D595" i="12"/>
  <c r="D593" i="12"/>
  <c r="D592" i="12"/>
  <c r="D584" i="12"/>
  <c r="D582" i="12"/>
  <c r="D580" i="12"/>
  <c r="L1181" i="14"/>
  <c r="H819" i="14"/>
  <c r="L819" i="14" s="1"/>
  <c r="H817" i="14"/>
  <c r="L817" i="14" s="1"/>
  <c r="D808" i="14"/>
  <c r="H807" i="14"/>
  <c r="L807" i="14" s="1"/>
  <c r="H806" i="14"/>
  <c r="L806" i="14" s="1"/>
  <c r="H805" i="14"/>
  <c r="L805" i="14" s="1"/>
  <c r="H800" i="14"/>
  <c r="L800" i="14" s="1"/>
  <c r="H799" i="14"/>
  <c r="L799" i="14" s="1"/>
  <c r="H798" i="14"/>
  <c r="L798" i="14" s="1"/>
  <c r="H797" i="14"/>
  <c r="L797" i="14" s="1"/>
  <c r="H796" i="14"/>
  <c r="L796" i="14" s="1"/>
  <c r="H795" i="14"/>
  <c r="L795" i="14" s="1"/>
  <c r="H794" i="14"/>
  <c r="L794" i="14" s="1"/>
  <c r="H793" i="14"/>
  <c r="L793" i="14" s="1"/>
  <c r="H792" i="14"/>
  <c r="L792" i="14" s="1"/>
  <c r="H791" i="14"/>
  <c r="L791" i="14" s="1"/>
  <c r="H790" i="14"/>
  <c r="L790" i="14" s="1"/>
  <c r="H789" i="14"/>
  <c r="L789" i="14" s="1"/>
  <c r="H788" i="14"/>
  <c r="L788" i="14" s="1"/>
  <c r="H787" i="14"/>
  <c r="L787" i="14" s="1"/>
  <c r="H786" i="14"/>
  <c r="L786" i="14" s="1"/>
  <c r="H785" i="14"/>
  <c r="L785" i="14" s="1"/>
  <c r="H784" i="14"/>
  <c r="L784" i="14" s="1"/>
  <c r="H783" i="14"/>
  <c r="L783" i="14" s="1"/>
  <c r="H782" i="14"/>
  <c r="L782" i="14" s="1"/>
  <c r="H781" i="14"/>
  <c r="L781" i="14" s="1"/>
  <c r="H780" i="14"/>
  <c r="L780" i="14" s="1"/>
  <c r="H779" i="14"/>
  <c r="L779" i="14" s="1"/>
  <c r="H778" i="14"/>
  <c r="L778" i="14" s="1"/>
  <c r="H777" i="14"/>
  <c r="L777" i="14" s="1"/>
  <c r="H776" i="14"/>
  <c r="L776" i="14" s="1"/>
  <c r="H775" i="14"/>
  <c r="L775" i="14" s="1"/>
  <c r="H774" i="14"/>
  <c r="L774" i="14" s="1"/>
  <c r="H773" i="14"/>
  <c r="L773" i="14" s="1"/>
  <c r="H772" i="14"/>
  <c r="L772" i="14" s="1"/>
  <c r="H771" i="14"/>
  <c r="L771" i="14" s="1"/>
  <c r="H770" i="14"/>
  <c r="L770" i="14" s="1"/>
  <c r="H769" i="14"/>
  <c r="L769" i="14" s="1"/>
  <c r="H768" i="14"/>
  <c r="L768" i="14" s="1"/>
  <c r="H767" i="14"/>
  <c r="L767" i="14" s="1"/>
  <c r="H766" i="14"/>
  <c r="L766" i="14" s="1"/>
  <c r="H765" i="14"/>
  <c r="L765" i="14" s="1"/>
  <c r="H764" i="14"/>
  <c r="L764" i="14" s="1"/>
  <c r="H763" i="14"/>
  <c r="L763" i="14" s="1"/>
  <c r="H762" i="14"/>
  <c r="L762" i="14" s="1"/>
  <c r="H761" i="14"/>
  <c r="L761" i="14" s="1"/>
  <c r="H760" i="14"/>
  <c r="L760" i="14" s="1"/>
  <c r="H759" i="14"/>
  <c r="L759" i="14" s="1"/>
  <c r="H758" i="14"/>
  <c r="L758" i="14" s="1"/>
  <c r="H757" i="14"/>
  <c r="L757" i="14" s="1"/>
  <c r="H756" i="14"/>
  <c r="L756" i="14" s="1"/>
  <c r="H755" i="14"/>
  <c r="L755" i="14" s="1"/>
  <c r="H754" i="14"/>
  <c r="L754" i="14" s="1"/>
  <c r="H753" i="14"/>
  <c r="L753" i="14" s="1"/>
  <c r="H752" i="14"/>
  <c r="L752" i="14" s="1"/>
  <c r="H751" i="14"/>
  <c r="L751" i="14" s="1"/>
  <c r="H750" i="14"/>
  <c r="L750" i="14" s="1"/>
  <c r="H749" i="14"/>
  <c r="L749" i="14" s="1"/>
  <c r="H748" i="14"/>
  <c r="L748" i="14" s="1"/>
  <c r="H697" i="14"/>
  <c r="L697" i="14" s="1"/>
  <c r="H741" i="14"/>
  <c r="L741" i="14" s="1"/>
  <c r="H740" i="14"/>
  <c r="L740" i="14" s="1"/>
  <c r="H738" i="14"/>
  <c r="L738" i="14" s="1"/>
  <c r="H737" i="14"/>
  <c r="L737" i="14" s="1"/>
  <c r="H736" i="14"/>
  <c r="L736" i="14" s="1"/>
  <c r="H735" i="14"/>
  <c r="L735" i="14" s="1"/>
  <c r="H734" i="14"/>
  <c r="L734" i="14" s="1"/>
  <c r="H733" i="14"/>
  <c r="L733" i="14" s="1"/>
  <c r="H732" i="14"/>
  <c r="L732" i="14" s="1"/>
  <c r="H731" i="14"/>
  <c r="L731" i="14" s="1"/>
  <c r="H730" i="14"/>
  <c r="L730" i="14" s="1"/>
  <c r="H729" i="14"/>
  <c r="L729" i="14" s="1"/>
  <c r="H728" i="14"/>
  <c r="L728" i="14" s="1"/>
  <c r="H727" i="14"/>
  <c r="L727" i="14" s="1"/>
  <c r="H726" i="14"/>
  <c r="L726" i="14" s="1"/>
  <c r="H725" i="14"/>
  <c r="L725" i="14" s="1"/>
  <c r="H724" i="14"/>
  <c r="L724" i="14" s="1"/>
  <c r="H723" i="14"/>
  <c r="L723" i="14" s="1"/>
  <c r="H722" i="14"/>
  <c r="L722" i="14" s="1"/>
  <c r="H721" i="14"/>
  <c r="L721" i="14" s="1"/>
  <c r="H720" i="14"/>
  <c r="L720" i="14" s="1"/>
  <c r="H719" i="14"/>
  <c r="L719" i="14" s="1"/>
  <c r="H718" i="14"/>
  <c r="L718" i="14" s="1"/>
  <c r="H717" i="14"/>
  <c r="L717" i="14" s="1"/>
  <c r="H716" i="14"/>
  <c r="L716" i="14" s="1"/>
  <c r="H715" i="14"/>
  <c r="L715" i="14" s="1"/>
  <c r="H714" i="14"/>
  <c r="L714" i="14" s="1"/>
  <c r="H713" i="14"/>
  <c r="L713" i="14" s="1"/>
  <c r="H712" i="14"/>
  <c r="L712" i="14" s="1"/>
  <c r="H711" i="14"/>
  <c r="L711" i="14" s="1"/>
  <c r="H710" i="14"/>
  <c r="L710" i="14" s="1"/>
  <c r="H709" i="14"/>
  <c r="L709" i="14" s="1"/>
  <c r="H708" i="14"/>
  <c r="L708" i="14" s="1"/>
  <c r="H707" i="14"/>
  <c r="L707" i="14" s="1"/>
  <c r="H699" i="14"/>
  <c r="L699" i="14" s="1"/>
  <c r="H698" i="14"/>
  <c r="L698" i="14" s="1"/>
  <c r="H696" i="14"/>
  <c r="L696" i="14" s="1"/>
  <c r="D662" i="14"/>
  <c r="H654" i="14"/>
  <c r="L654" i="14" s="1"/>
  <c r="H655" i="14"/>
  <c r="L655" i="14" s="1"/>
  <c r="H656" i="14"/>
  <c r="L656" i="14" s="1"/>
  <c r="H657" i="14"/>
  <c r="L657" i="14" s="1"/>
  <c r="H658" i="14"/>
  <c r="L658" i="14" s="1"/>
  <c r="H659" i="14"/>
  <c r="L659" i="14" s="1"/>
  <c r="H660" i="14"/>
  <c r="L660" i="14" s="1"/>
  <c r="H661" i="14"/>
  <c r="L661" i="14" s="1"/>
  <c r="H637" i="14"/>
  <c r="L637" i="14" s="1"/>
  <c r="H643" i="14"/>
  <c r="L643" i="14" s="1"/>
  <c r="H644" i="14"/>
  <c r="L644" i="14" s="1"/>
  <c r="H646" i="14"/>
  <c r="L646" i="14" s="1"/>
  <c r="H647" i="14"/>
  <c r="L647" i="14" s="1"/>
  <c r="H648" i="14"/>
  <c r="L648" i="14" s="1"/>
  <c r="H649" i="14"/>
  <c r="L649" i="14" s="1"/>
  <c r="H650" i="14"/>
  <c r="L650" i="14" s="1"/>
  <c r="H651" i="14"/>
  <c r="L651" i="14" s="1"/>
  <c r="H653" i="14"/>
  <c r="L653" i="14" s="1"/>
  <c r="H635" i="14"/>
  <c r="L635" i="14" s="1"/>
  <c r="H636" i="14"/>
  <c r="L636" i="14" s="1"/>
  <c r="H638" i="14"/>
  <c r="L638" i="14" s="1"/>
  <c r="H639" i="14"/>
  <c r="L639" i="14" s="1"/>
  <c r="H640" i="14"/>
  <c r="L640" i="14" s="1"/>
  <c r="H641" i="14"/>
  <c r="L641" i="14" s="1"/>
  <c r="H642" i="14"/>
  <c r="L642" i="14" s="1"/>
  <c r="H634" i="14"/>
  <c r="L634" i="14" s="1"/>
  <c r="H633" i="14"/>
  <c r="L633" i="14" s="1"/>
  <c r="H621" i="14"/>
  <c r="L621" i="14" s="1"/>
  <c r="D601" i="14"/>
  <c r="H585" i="14"/>
  <c r="L585" i="14" s="1"/>
  <c r="H586" i="14"/>
  <c r="L586" i="14" s="1"/>
  <c r="H587" i="14"/>
  <c r="L587" i="14" s="1"/>
  <c r="H588" i="14"/>
  <c r="L588" i="14" s="1"/>
  <c r="H589" i="14"/>
  <c r="L589" i="14" s="1"/>
  <c r="H590" i="14"/>
  <c r="L590" i="14" s="1"/>
  <c r="H591" i="14"/>
  <c r="L591" i="14" s="1"/>
  <c r="H592" i="14"/>
  <c r="L592" i="14" s="1"/>
  <c r="H593" i="14"/>
  <c r="L593" i="14" s="1"/>
  <c r="H594" i="14"/>
  <c r="L594" i="14" s="1"/>
  <c r="H595" i="14"/>
  <c r="L595" i="14" s="1"/>
  <c r="H596" i="14"/>
  <c r="L596" i="14" s="1"/>
  <c r="H597" i="14"/>
  <c r="L597" i="14" s="1"/>
  <c r="H598" i="14"/>
  <c r="L598" i="14" s="1"/>
  <c r="H599" i="14"/>
  <c r="L599" i="14" s="1"/>
  <c r="H600" i="14"/>
  <c r="L600" i="14" s="1"/>
  <c r="H584" i="14"/>
  <c r="L584" i="14" s="1"/>
  <c r="H583" i="14"/>
  <c r="L583" i="14" s="1"/>
  <c r="H582" i="14"/>
  <c r="L582" i="14" s="1"/>
  <c r="H581" i="14"/>
  <c r="L581" i="14" s="1"/>
  <c r="H580" i="14"/>
  <c r="L580" i="14" s="1"/>
  <c r="H557" i="14"/>
  <c r="L557" i="14" s="1"/>
  <c r="H555" i="14"/>
  <c r="L555" i="14" s="1"/>
  <c r="H552" i="14"/>
  <c r="L552" i="14" s="1"/>
  <c r="H562" i="14"/>
  <c r="L562" i="14" s="1"/>
  <c r="H560" i="14"/>
  <c r="L560" i="14" s="1"/>
  <c r="H673" i="14"/>
  <c r="L673" i="14" s="1"/>
  <c r="H672" i="14"/>
  <c r="L672" i="14" s="1"/>
  <c r="H671" i="14"/>
  <c r="L671" i="14" s="1"/>
  <c r="L828" i="14" l="1"/>
  <c r="D1160" i="14"/>
  <c r="L1160" i="14" s="1"/>
  <c r="L743" i="14"/>
  <c r="P598" i="12"/>
  <c r="L801" i="14"/>
  <c r="L808" i="14"/>
  <c r="D563" i="12"/>
  <c r="C564" i="12"/>
  <c r="H564" i="12" s="1"/>
  <c r="J564" i="12" s="1"/>
  <c r="P564" i="12" s="1"/>
  <c r="D545" i="12"/>
  <c r="D544" i="12"/>
  <c r="D542" i="12"/>
  <c r="D539" i="12"/>
  <c r="D536" i="12"/>
  <c r="C537" i="12"/>
  <c r="H537" i="12" s="1"/>
  <c r="J537" i="12" s="1"/>
  <c r="P537" i="12" s="1"/>
  <c r="D525" i="12"/>
  <c r="C526" i="12"/>
  <c r="H526" i="12" s="1"/>
  <c r="I526" i="12" s="1"/>
  <c r="L526" i="12" s="1"/>
  <c r="D523" i="12"/>
  <c r="C524" i="12"/>
  <c r="H524" i="12" s="1"/>
  <c r="I524" i="12" s="1"/>
  <c r="M524" i="12" s="1"/>
  <c r="D521" i="12"/>
  <c r="D520" i="12"/>
  <c r="D518" i="12"/>
  <c r="D515" i="12"/>
  <c r="D513" i="12"/>
  <c r="D512" i="12"/>
  <c r="D510" i="12"/>
  <c r="D505" i="12"/>
  <c r="D503" i="12"/>
  <c r="C504" i="12"/>
  <c r="H504" i="12" s="1"/>
  <c r="J504" i="12" s="1"/>
  <c r="Q504" i="12" s="1"/>
  <c r="D501" i="12"/>
  <c r="C502" i="12"/>
  <c r="H502" i="12" s="1"/>
  <c r="J502" i="12" s="1"/>
  <c r="Q502" i="12" s="1"/>
  <c r="D499" i="12"/>
  <c r="C500" i="12"/>
  <c r="H500" i="12" s="1"/>
  <c r="J500" i="12" s="1"/>
  <c r="P500" i="12" s="1"/>
  <c r="D497" i="12"/>
  <c r="D488" i="12"/>
  <c r="C489" i="12"/>
  <c r="H489" i="12" s="1"/>
  <c r="J489" i="12" s="1"/>
  <c r="P489" i="12" s="1"/>
  <c r="D477" i="12"/>
  <c r="C478" i="12"/>
  <c r="H478" i="12" s="1"/>
  <c r="I478" i="12" s="1"/>
  <c r="L478" i="12" s="1"/>
  <c r="D476" i="12"/>
  <c r="D470" i="12"/>
  <c r="D468" i="12"/>
  <c r="C469" i="12"/>
  <c r="H469" i="12" s="1"/>
  <c r="J469" i="12" s="1"/>
  <c r="P469" i="12" s="1"/>
  <c r="D466" i="12"/>
  <c r="D464" i="12"/>
  <c r="D461" i="12"/>
  <c r="D459" i="12"/>
  <c r="D455" i="12"/>
  <c r="H676" i="14"/>
  <c r="L676" i="14" s="1"/>
  <c r="L678" i="14" s="1"/>
  <c r="D682" i="14"/>
  <c r="H680" i="14"/>
  <c r="L680" i="14" s="1"/>
  <c r="D674" i="14"/>
  <c r="D1159" i="14" s="1"/>
  <c r="L1159" i="14" s="1"/>
  <c r="H670" i="14"/>
  <c r="L670" i="14" s="1"/>
  <c r="H669" i="14"/>
  <c r="L669" i="14" s="1"/>
  <c r="H668" i="14"/>
  <c r="L668" i="14" s="1"/>
  <c r="H667" i="14"/>
  <c r="L667" i="14" s="1"/>
  <c r="H666" i="14"/>
  <c r="L666" i="14" s="1"/>
  <c r="H632" i="14"/>
  <c r="L632" i="14" s="1"/>
  <c r="H631" i="14"/>
  <c r="L631" i="14" s="1"/>
  <c r="H630" i="14"/>
  <c r="L630" i="14" s="1"/>
  <c r="H629" i="14"/>
  <c r="L629" i="14" s="1"/>
  <c r="H628" i="14"/>
  <c r="L628" i="14" s="1"/>
  <c r="H627" i="14"/>
  <c r="L627" i="14" s="1"/>
  <c r="H626" i="14"/>
  <c r="L626" i="14" s="1"/>
  <c r="H625" i="14"/>
  <c r="L625" i="14" s="1"/>
  <c r="H624" i="14"/>
  <c r="L624" i="14" s="1"/>
  <c r="H623" i="14"/>
  <c r="L623" i="14" s="1"/>
  <c r="H622" i="14"/>
  <c r="L622" i="14" s="1"/>
  <c r="H620" i="14"/>
  <c r="L620" i="14" s="1"/>
  <c r="H619" i="14"/>
  <c r="L619" i="14" s="1"/>
  <c r="H618" i="14"/>
  <c r="L618" i="14" s="1"/>
  <c r="H617" i="14"/>
  <c r="L617" i="14" s="1"/>
  <c r="H616" i="14"/>
  <c r="L616" i="14" s="1"/>
  <c r="H615" i="14"/>
  <c r="L615" i="14" s="1"/>
  <c r="H614" i="14"/>
  <c r="L614" i="14" s="1"/>
  <c r="H613" i="14"/>
  <c r="L613" i="14" s="1"/>
  <c r="H612" i="14"/>
  <c r="L612" i="14" s="1"/>
  <c r="H611" i="14"/>
  <c r="L611" i="14" s="1"/>
  <c r="H610" i="14"/>
  <c r="L610" i="14" s="1"/>
  <c r="H609" i="14"/>
  <c r="L609" i="14" s="1"/>
  <c r="H608" i="14"/>
  <c r="L608" i="14" s="1"/>
  <c r="H607" i="14"/>
  <c r="L607" i="14" s="1"/>
  <c r="H606" i="14"/>
  <c r="L606" i="14" s="1"/>
  <c r="H605" i="14"/>
  <c r="L605" i="14" s="1"/>
  <c r="H549" i="14"/>
  <c r="L549" i="14" s="1"/>
  <c r="H579" i="14"/>
  <c r="L579" i="14" s="1"/>
  <c r="H578" i="14"/>
  <c r="L578" i="14" s="1"/>
  <c r="H577" i="14"/>
  <c r="L577" i="14" s="1"/>
  <c r="H576" i="14"/>
  <c r="L576" i="14" s="1"/>
  <c r="H575" i="14"/>
  <c r="L575" i="14" s="1"/>
  <c r="H574" i="14"/>
  <c r="L574" i="14" s="1"/>
  <c r="H573" i="14"/>
  <c r="L573" i="14" s="1"/>
  <c r="H572" i="14"/>
  <c r="L572" i="14" s="1"/>
  <c r="H571" i="14"/>
  <c r="L571" i="14" s="1"/>
  <c r="H570" i="14"/>
  <c r="L570" i="14" s="1"/>
  <c r="H569" i="14"/>
  <c r="L569" i="14" s="1"/>
  <c r="H568" i="14"/>
  <c r="L568" i="14" s="1"/>
  <c r="H567" i="14"/>
  <c r="L567" i="14" s="1"/>
  <c r="H566" i="14"/>
  <c r="L566" i="14" s="1"/>
  <c r="H565" i="14"/>
  <c r="L565" i="14" s="1"/>
  <c r="H564" i="14"/>
  <c r="L564" i="14" s="1"/>
  <c r="H563" i="14"/>
  <c r="L563" i="14" s="1"/>
  <c r="H561" i="14"/>
  <c r="L561" i="14" s="1"/>
  <c r="H559" i="14"/>
  <c r="L559" i="14" s="1"/>
  <c r="H558" i="14"/>
  <c r="L558" i="14" s="1"/>
  <c r="H556" i="14"/>
  <c r="L556" i="14" s="1"/>
  <c r="H554" i="14"/>
  <c r="L554" i="14" s="1"/>
  <c r="H553" i="14"/>
  <c r="L553" i="14" s="1"/>
  <c r="H551" i="14"/>
  <c r="L551" i="14" s="1"/>
  <c r="H550" i="14"/>
  <c r="L550" i="14" s="1"/>
  <c r="H548" i="14"/>
  <c r="L548" i="14" s="1"/>
  <c r="D438" i="12"/>
  <c r="D437" i="12"/>
  <c r="D436" i="12"/>
  <c r="D434" i="12"/>
  <c r="C435" i="12"/>
  <c r="H435" i="12" s="1"/>
  <c r="J435" i="12" s="1"/>
  <c r="P435" i="12" s="1"/>
  <c r="D432" i="12"/>
  <c r="C433" i="12"/>
  <c r="H433" i="12" s="1"/>
  <c r="J433" i="12" s="1"/>
  <c r="P433" i="12" s="1"/>
  <c r="D430" i="12"/>
  <c r="C431" i="12"/>
  <c r="H431" i="12" s="1"/>
  <c r="J431" i="12" s="1"/>
  <c r="P431" i="12" s="1"/>
  <c r="D422" i="12"/>
  <c r="D414" i="12"/>
  <c r="C415" i="12"/>
  <c r="H415" i="12" s="1"/>
  <c r="I415" i="12" s="1"/>
  <c r="M415" i="12" s="1"/>
  <c r="D412" i="12"/>
  <c r="D410" i="12"/>
  <c r="C411" i="12"/>
  <c r="H411" i="12" s="1"/>
  <c r="I411" i="12" s="1"/>
  <c r="L411" i="12" s="1"/>
  <c r="D408" i="12"/>
  <c r="D406" i="12"/>
  <c r="D401" i="12"/>
  <c r="D395" i="12"/>
  <c r="D393" i="12"/>
  <c r="C394" i="12"/>
  <c r="H394" i="12" s="1"/>
  <c r="J394" i="12" s="1"/>
  <c r="P394" i="12" s="1"/>
  <c r="D391" i="12"/>
  <c r="D389" i="12"/>
  <c r="D385" i="12"/>
  <c r="C386" i="12"/>
  <c r="H386" i="12" s="1"/>
  <c r="I386" i="12" s="1"/>
  <c r="L386" i="12" s="1"/>
  <c r="D384" i="12"/>
  <c r="D382" i="12"/>
  <c r="D378" i="12"/>
  <c r="D374" i="12"/>
  <c r="D370" i="12"/>
  <c r="C371" i="12"/>
  <c r="H371" i="12" s="1"/>
  <c r="I371" i="12" s="1"/>
  <c r="L371" i="12" s="1"/>
  <c r="D363" i="12"/>
  <c r="D331" i="12"/>
  <c r="C330" i="12"/>
  <c r="H330" i="12" s="1"/>
  <c r="J330" i="12" s="1"/>
  <c r="P330" i="12" s="1"/>
  <c r="D324" i="12"/>
  <c r="D323" i="12"/>
  <c r="D319" i="12"/>
  <c r="D316" i="12"/>
  <c r="D312" i="12"/>
  <c r="D310" i="12"/>
  <c r="C311" i="12"/>
  <c r="H311" i="12" s="1"/>
  <c r="J311" i="12" s="1"/>
  <c r="P311" i="12" s="1"/>
  <c r="D308" i="12"/>
  <c r="D301" i="12"/>
  <c r="D297" i="12"/>
  <c r="D296" i="12"/>
  <c r="D287" i="12"/>
  <c r="C288" i="12"/>
  <c r="H288" i="12" s="1"/>
  <c r="J288" i="12" s="1"/>
  <c r="P288" i="12" s="1"/>
  <c r="D286" i="12"/>
  <c r="C285" i="12"/>
  <c r="H285" i="12" s="1"/>
  <c r="J285" i="12" s="1"/>
  <c r="P285" i="12" s="1"/>
  <c r="D282" i="12"/>
  <c r="D280" i="12"/>
  <c r="C281" i="12"/>
  <c r="H281" i="12" s="1"/>
  <c r="I281" i="12" s="1"/>
  <c r="M281" i="12" s="1"/>
  <c r="D278" i="12"/>
  <c r="D272" i="12"/>
  <c r="C273" i="12"/>
  <c r="H273" i="12" s="1"/>
  <c r="J273" i="12" s="1"/>
  <c r="Q273" i="12" s="1"/>
  <c r="C269" i="12"/>
  <c r="H269" i="12" s="1"/>
  <c r="J269" i="12" s="1"/>
  <c r="P269" i="12" s="1"/>
  <c r="C271" i="12"/>
  <c r="H271" i="12" s="1"/>
  <c r="J271" i="12" s="1"/>
  <c r="P271" i="12" s="1"/>
  <c r="D266" i="12"/>
  <c r="D264" i="12"/>
  <c r="H505" i="14"/>
  <c r="L505" i="14" s="1"/>
  <c r="H506" i="14"/>
  <c r="L506" i="14" s="1"/>
  <c r="H490" i="14"/>
  <c r="L490" i="14" s="1"/>
  <c r="H491" i="14"/>
  <c r="L491" i="14" s="1"/>
  <c r="H492" i="14"/>
  <c r="L492" i="14" s="1"/>
  <c r="H493" i="14"/>
  <c r="L493" i="14" s="1"/>
  <c r="H475" i="14"/>
  <c r="L475" i="14" s="1"/>
  <c r="H476" i="14"/>
  <c r="L476" i="14" s="1"/>
  <c r="H477" i="14"/>
  <c r="L477" i="14" s="1"/>
  <c r="H478" i="14"/>
  <c r="L478" i="14" s="1"/>
  <c r="H479" i="14"/>
  <c r="L479" i="14" s="1"/>
  <c r="H480" i="14"/>
  <c r="L480" i="14" s="1"/>
  <c r="H481" i="14"/>
  <c r="L481" i="14" s="1"/>
  <c r="H482" i="14"/>
  <c r="L482" i="14" s="1"/>
  <c r="H474" i="14"/>
  <c r="L474" i="14" s="1"/>
  <c r="H473" i="14"/>
  <c r="L473" i="14" s="1"/>
  <c r="H472" i="14"/>
  <c r="L472" i="14" s="1"/>
  <c r="H449" i="14"/>
  <c r="L449" i="14" s="1"/>
  <c r="H448" i="14"/>
  <c r="L448" i="14" s="1"/>
  <c r="H447" i="14"/>
  <c r="L447" i="14" s="1"/>
  <c r="H446" i="14"/>
  <c r="L446" i="14" s="1"/>
  <c r="H445" i="14"/>
  <c r="L445" i="14" s="1"/>
  <c r="H444" i="14"/>
  <c r="L444" i="14" s="1"/>
  <c r="H443" i="14"/>
  <c r="L443" i="14" s="1"/>
  <c r="H442" i="14"/>
  <c r="L442" i="14" s="1"/>
  <c r="D1180" i="14" l="1"/>
  <c r="L1180" i="14" s="1"/>
  <c r="L682" i="14"/>
  <c r="L662" i="14"/>
  <c r="L601" i="14"/>
  <c r="L674" i="14"/>
  <c r="D483" i="14"/>
  <c r="H471" i="14"/>
  <c r="L471" i="14" s="1"/>
  <c r="H470" i="14"/>
  <c r="L470" i="14" s="1"/>
  <c r="H469" i="14"/>
  <c r="L469" i="14" s="1"/>
  <c r="H468" i="14"/>
  <c r="L468" i="14" s="1"/>
  <c r="H467" i="14"/>
  <c r="L467" i="14" s="1"/>
  <c r="H466" i="14"/>
  <c r="L466" i="14" s="1"/>
  <c r="H465" i="14"/>
  <c r="L465" i="14" s="1"/>
  <c r="H464" i="14"/>
  <c r="L464" i="14" s="1"/>
  <c r="H463" i="14"/>
  <c r="L463" i="14" s="1"/>
  <c r="H462" i="14"/>
  <c r="L462" i="14" s="1"/>
  <c r="H461" i="14"/>
  <c r="L461" i="14" s="1"/>
  <c r="H460" i="14"/>
  <c r="L460" i="14" s="1"/>
  <c r="H459" i="14"/>
  <c r="L459" i="14" s="1"/>
  <c r="H458" i="14"/>
  <c r="L458" i="14" s="1"/>
  <c r="H457" i="14"/>
  <c r="L457" i="14" s="1"/>
  <c r="H456" i="14"/>
  <c r="L456" i="14" s="1"/>
  <c r="H455" i="14"/>
  <c r="L455" i="14" s="1"/>
  <c r="H418" i="14"/>
  <c r="L418" i="14" s="1"/>
  <c r="H441" i="14"/>
  <c r="L441" i="14" s="1"/>
  <c r="H440" i="14"/>
  <c r="L440" i="14" s="1"/>
  <c r="H439" i="14"/>
  <c r="L439" i="14" s="1"/>
  <c r="H438" i="14"/>
  <c r="L438" i="14" s="1"/>
  <c r="H437" i="14"/>
  <c r="L437" i="14" s="1"/>
  <c r="H436" i="14"/>
  <c r="L436" i="14" s="1"/>
  <c r="H435" i="14"/>
  <c r="L435" i="14" s="1"/>
  <c r="H434" i="14"/>
  <c r="L434" i="14" s="1"/>
  <c r="H433" i="14"/>
  <c r="L433" i="14" s="1"/>
  <c r="H432" i="14"/>
  <c r="L432" i="14" s="1"/>
  <c r="H431" i="14"/>
  <c r="L431" i="14" s="1"/>
  <c r="H430" i="14"/>
  <c r="L430" i="14" s="1"/>
  <c r="H429" i="14"/>
  <c r="L429" i="14" s="1"/>
  <c r="H428" i="14"/>
  <c r="L428" i="14" s="1"/>
  <c r="H427" i="14"/>
  <c r="L427" i="14" s="1"/>
  <c r="H426" i="14"/>
  <c r="L426" i="14" s="1"/>
  <c r="H425" i="14"/>
  <c r="L425" i="14" s="1"/>
  <c r="H424" i="14"/>
  <c r="L424" i="14" s="1"/>
  <c r="H423" i="14"/>
  <c r="L423" i="14" s="1"/>
  <c r="H422" i="14"/>
  <c r="L422" i="14" s="1"/>
  <c r="H421" i="14"/>
  <c r="L421" i="14" s="1"/>
  <c r="H420" i="14"/>
  <c r="L420" i="14" s="1"/>
  <c r="H417" i="14"/>
  <c r="L417" i="14" s="1"/>
  <c r="H504" i="14"/>
  <c r="L504" i="14" s="1"/>
  <c r="L1179" i="14"/>
  <c r="H503" i="14"/>
  <c r="L503" i="14" s="1"/>
  <c r="D494" i="14"/>
  <c r="D1158" i="14" s="1"/>
  <c r="L1158" i="14" s="1"/>
  <c r="H489" i="14"/>
  <c r="L489" i="14" s="1"/>
  <c r="H488" i="14"/>
  <c r="L488" i="14" s="1"/>
  <c r="H487" i="14"/>
  <c r="L487" i="14" s="1"/>
  <c r="H54" i="34"/>
  <c r="H375" i="14"/>
  <c r="L375" i="14" s="1"/>
  <c r="H383" i="14"/>
  <c r="L383" i="14" s="1"/>
  <c r="H301" i="14"/>
  <c r="L301" i="14" s="1"/>
  <c r="D392" i="14"/>
  <c r="H336" i="14"/>
  <c r="L336" i="14" s="1"/>
  <c r="H337" i="14"/>
  <c r="L337" i="14" s="1"/>
  <c r="H338" i="14"/>
  <c r="L338" i="14" s="1"/>
  <c r="H309" i="14"/>
  <c r="L309" i="14" s="1"/>
  <c r="H307" i="14"/>
  <c r="L307" i="14" s="1"/>
  <c r="D365" i="14"/>
  <c r="H364" i="14"/>
  <c r="L364" i="14" s="1"/>
  <c r="H363" i="14"/>
  <c r="L363" i="14" s="1"/>
  <c r="H362" i="14"/>
  <c r="L362" i="14" s="1"/>
  <c r="H361" i="14"/>
  <c r="L361" i="14" s="1"/>
  <c r="H360" i="14"/>
  <c r="L360" i="14" s="1"/>
  <c r="H359" i="14"/>
  <c r="L359" i="14" s="1"/>
  <c r="H358" i="14"/>
  <c r="L358" i="14" s="1"/>
  <c r="H357" i="14"/>
  <c r="L357" i="14" s="1"/>
  <c r="H356" i="14"/>
  <c r="L356" i="14" s="1"/>
  <c r="H355" i="14"/>
  <c r="L355" i="14" s="1"/>
  <c r="H354" i="14"/>
  <c r="L354" i="14" s="1"/>
  <c r="H353" i="14"/>
  <c r="L353" i="14" s="1"/>
  <c r="H352" i="14"/>
  <c r="L352" i="14" s="1"/>
  <c r="H351" i="14"/>
  <c r="L351" i="14" s="1"/>
  <c r="H350" i="14"/>
  <c r="L350" i="14" s="1"/>
  <c r="H349" i="14"/>
  <c r="L349" i="14" s="1"/>
  <c r="H348" i="14"/>
  <c r="L348" i="14" s="1"/>
  <c r="H347" i="14"/>
  <c r="L347" i="14" s="1"/>
  <c r="H346" i="14"/>
  <c r="L346" i="14" s="1"/>
  <c r="H345" i="14"/>
  <c r="L345" i="14" s="1"/>
  <c r="H344" i="14"/>
  <c r="L344" i="14" s="1"/>
  <c r="H335" i="14"/>
  <c r="L335" i="14" s="1"/>
  <c r="H334" i="14"/>
  <c r="L334" i="14" s="1"/>
  <c r="H333" i="14"/>
  <c r="L333" i="14" s="1"/>
  <c r="H332" i="14"/>
  <c r="L332" i="14" s="1"/>
  <c r="H331" i="14"/>
  <c r="L331" i="14" s="1"/>
  <c r="H330" i="14"/>
  <c r="L330" i="14" s="1"/>
  <c r="H329" i="14"/>
  <c r="L329" i="14" s="1"/>
  <c r="H328" i="14"/>
  <c r="L328" i="14" s="1"/>
  <c r="H327" i="14"/>
  <c r="L327" i="14" s="1"/>
  <c r="H326" i="14"/>
  <c r="L326" i="14" s="1"/>
  <c r="H325" i="14"/>
  <c r="L325" i="14" s="1"/>
  <c r="H324" i="14"/>
  <c r="L324" i="14" s="1"/>
  <c r="H323" i="14"/>
  <c r="L323" i="14" s="1"/>
  <c r="H322" i="14"/>
  <c r="L322" i="14" s="1"/>
  <c r="H321" i="14"/>
  <c r="L321" i="14" s="1"/>
  <c r="H320" i="14"/>
  <c r="L320" i="14" s="1"/>
  <c r="H319" i="14"/>
  <c r="L319" i="14" s="1"/>
  <c r="H318" i="14"/>
  <c r="L318" i="14" s="1"/>
  <c r="H317" i="14"/>
  <c r="L317" i="14" s="1"/>
  <c r="H316" i="14"/>
  <c r="L316" i="14" s="1"/>
  <c r="H315" i="14"/>
  <c r="L315" i="14" s="1"/>
  <c r="H314" i="14"/>
  <c r="L314" i="14" s="1"/>
  <c r="H313" i="14"/>
  <c r="L313" i="14" s="1"/>
  <c r="H312" i="14"/>
  <c r="L312" i="14" s="1"/>
  <c r="H311" i="14"/>
  <c r="L311" i="14" s="1"/>
  <c r="H310" i="14"/>
  <c r="L310" i="14" s="1"/>
  <c r="H308" i="14"/>
  <c r="L308" i="14" s="1"/>
  <c r="H306" i="14"/>
  <c r="L306" i="14" s="1"/>
  <c r="H305" i="14"/>
  <c r="L305" i="14" s="1"/>
  <c r="H304" i="14"/>
  <c r="L304" i="14" s="1"/>
  <c r="H303" i="14"/>
  <c r="L303" i="14" s="1"/>
  <c r="H302" i="14"/>
  <c r="L302" i="14" s="1"/>
  <c r="D373" i="14"/>
  <c r="D1157" i="14" s="1"/>
  <c r="L1157" i="14" s="1"/>
  <c r="L1164" i="14" s="1"/>
  <c r="H372" i="14"/>
  <c r="L372" i="14" s="1"/>
  <c r="H371" i="14"/>
  <c r="L371" i="14" s="1"/>
  <c r="H370" i="14"/>
  <c r="L370" i="14" s="1"/>
  <c r="H369" i="14"/>
  <c r="L369" i="14" s="1"/>
  <c r="L381" i="14" l="1"/>
  <c r="L1144" i="14" s="1"/>
  <c r="L340" i="14"/>
  <c r="D1178" i="14"/>
  <c r="L1178" i="14" s="1"/>
  <c r="L1185" i="14" s="1"/>
  <c r="D1167" i="14"/>
  <c r="L1167" i="14" s="1"/>
  <c r="L1174" i="14" s="1"/>
  <c r="L451" i="14"/>
  <c r="L515" i="14"/>
  <c r="L483" i="14"/>
  <c r="L494" i="14"/>
  <c r="L54" i="34"/>
  <c r="L392" i="14"/>
  <c r="L373" i="14"/>
  <c r="L365" i="14"/>
  <c r="H809" i="12"/>
  <c r="L809" i="12"/>
  <c r="M809" i="12"/>
  <c r="N809" i="12"/>
  <c r="O809" i="12"/>
  <c r="C809" i="12"/>
  <c r="D244" i="12"/>
  <c r="D242" i="12"/>
  <c r="D236" i="12"/>
  <c r="D230" i="12"/>
  <c r="D224" i="12"/>
  <c r="D221" i="12"/>
  <c r="D220" i="12"/>
  <c r="D215" i="12"/>
  <c r="C216" i="12"/>
  <c r="H216" i="12" s="1"/>
  <c r="J216" i="12" s="1"/>
  <c r="P216" i="12" s="1"/>
  <c r="D213" i="12"/>
  <c r="C214" i="12"/>
  <c r="H214" i="12" s="1"/>
  <c r="J214" i="12" s="1"/>
  <c r="P214" i="12" s="1"/>
  <c r="D209" i="12"/>
  <c r="D208" i="12"/>
  <c r="D217" i="12"/>
  <c r="D207" i="12"/>
  <c r="D205" i="12"/>
  <c r="C206" i="12"/>
  <c r="H206" i="12" s="1"/>
  <c r="I206" i="12" s="1"/>
  <c r="L206" i="12" s="1"/>
  <c r="D202" i="12"/>
  <c r="D200" i="12"/>
  <c r="C201" i="12"/>
  <c r="H201" i="12" s="1"/>
  <c r="I201" i="12" s="1"/>
  <c r="L201" i="12" s="1"/>
  <c r="C199" i="12"/>
  <c r="H199" i="12" s="1"/>
  <c r="I199" i="12" s="1"/>
  <c r="L199" i="12" s="1"/>
  <c r="D196" i="12"/>
  <c r="D194" i="12"/>
  <c r="C195" i="12"/>
  <c r="H195" i="12" s="1"/>
  <c r="J195" i="12" s="1"/>
  <c r="P195" i="12" s="1"/>
  <c r="D192" i="12"/>
  <c r="C193" i="12"/>
  <c r="H193" i="12" s="1"/>
  <c r="J193" i="12" s="1"/>
  <c r="P193" i="12" s="1"/>
  <c r="D191" i="12"/>
  <c r="D189" i="12"/>
  <c r="D181" i="12"/>
  <c r="D179" i="12"/>
  <c r="D177" i="12"/>
  <c r="D175" i="12"/>
  <c r="D159" i="12"/>
  <c r="D156" i="12"/>
  <c r="D155" i="12"/>
  <c r="D152" i="12"/>
  <c r="D145" i="12"/>
  <c r="D161" i="12"/>
  <c r="D150" i="12"/>
  <c r="D148" i="12"/>
  <c r="D143" i="12"/>
  <c r="D141" i="12"/>
  <c r="D139" i="12"/>
  <c r="D79" i="13"/>
  <c r="D48" i="13"/>
  <c r="H166" i="11"/>
  <c r="P166" i="11" s="1"/>
  <c r="C248" i="12"/>
  <c r="H248" i="12" s="1"/>
  <c r="I248" i="12" s="1"/>
  <c r="M248" i="12" s="1"/>
  <c r="C246" i="12"/>
  <c r="H246" i="12" s="1"/>
  <c r="I246" i="12" s="1"/>
  <c r="M246" i="12" s="1"/>
  <c r="D247" i="12"/>
  <c r="C247" i="12" s="1"/>
  <c r="M247" i="12" s="1"/>
  <c r="D245" i="12"/>
  <c r="D123" i="12"/>
  <c r="D121" i="12"/>
  <c r="D119" i="12"/>
  <c r="D117" i="12"/>
  <c r="D115" i="12"/>
  <c r="D113" i="12"/>
  <c r="D111" i="12"/>
  <c r="C112" i="12"/>
  <c r="H112" i="12" s="1"/>
  <c r="J112" i="12" s="1"/>
  <c r="Q112" i="12" s="1"/>
  <c r="D105" i="12"/>
  <c r="C106" i="12"/>
  <c r="H106" i="12" s="1"/>
  <c r="J106" i="12" s="1"/>
  <c r="Q106" i="12" s="1"/>
  <c r="D75" i="13"/>
  <c r="D73" i="11"/>
  <c r="C103" i="12"/>
  <c r="H103" i="12" s="1"/>
  <c r="J103" i="12" s="1"/>
  <c r="Q103" i="12" s="1"/>
  <c r="D102" i="12"/>
  <c r="D99" i="12"/>
  <c r="C100" i="12"/>
  <c r="H57" i="14"/>
  <c r="L57" i="14" s="1"/>
  <c r="H114" i="14"/>
  <c r="L114" i="14" s="1"/>
  <c r="D97" i="12"/>
  <c r="C98" i="12"/>
  <c r="H98" i="12" s="1"/>
  <c r="J98" i="12" s="1"/>
  <c r="P98" i="12" s="1"/>
  <c r="D95" i="12"/>
  <c r="C96" i="12"/>
  <c r="H96" i="12" s="1"/>
  <c r="I96" i="12" s="1"/>
  <c r="L96" i="12" s="1"/>
  <c r="D94" i="12"/>
  <c r="D92" i="12"/>
  <c r="D89" i="12"/>
  <c r="D83" i="12"/>
  <c r="D80" i="12"/>
  <c r="D78" i="12"/>
  <c r="C79" i="12"/>
  <c r="Q79" i="12" s="1"/>
  <c r="D76" i="12"/>
  <c r="D69" i="12"/>
  <c r="D67" i="12"/>
  <c r="D65" i="12"/>
  <c r="D63" i="12"/>
  <c r="D61" i="12"/>
  <c r="D59" i="12"/>
  <c r="D56" i="12"/>
  <c r="D55" i="12"/>
  <c r="D54" i="12"/>
  <c r="D53" i="12"/>
  <c r="D45" i="12"/>
  <c r="D44" i="12"/>
  <c r="D40" i="12"/>
  <c r="D38" i="12"/>
  <c r="D32" i="12"/>
  <c r="C29" i="12"/>
  <c r="H29" i="12" s="1"/>
  <c r="I29" i="12" s="1"/>
  <c r="L29" i="12" s="1"/>
  <c r="D28" i="12"/>
  <c r="R54" i="34" l="1"/>
  <c r="R56" i="34" s="1"/>
  <c r="H100" i="12"/>
  <c r="I100" i="12" s="1"/>
  <c r="M100" i="12"/>
  <c r="H79" i="12"/>
  <c r="J79" i="12" s="1"/>
  <c r="D22" i="12"/>
  <c r="H127" i="14"/>
  <c r="L127" i="14" s="1"/>
  <c r="H126" i="14"/>
  <c r="L126" i="14" s="1"/>
  <c r="H125" i="14"/>
  <c r="L125" i="14" s="1"/>
  <c r="D244" i="14"/>
  <c r="H243" i="14"/>
  <c r="L243" i="14" s="1"/>
  <c r="H242" i="14"/>
  <c r="L242" i="14" s="1"/>
  <c r="H241" i="14"/>
  <c r="L241" i="14" s="1"/>
  <c r="H240" i="14"/>
  <c r="L240" i="14" s="1"/>
  <c r="H239" i="14"/>
  <c r="L239" i="14" s="1"/>
  <c r="H238" i="14"/>
  <c r="L238" i="14" s="1"/>
  <c r="H237" i="14"/>
  <c r="L237" i="14" s="1"/>
  <c r="H236" i="14"/>
  <c r="L236" i="14" s="1"/>
  <c r="H235" i="14"/>
  <c r="L235" i="14" s="1"/>
  <c r="H234" i="14"/>
  <c r="L234" i="14" s="1"/>
  <c r="H233" i="14"/>
  <c r="L233" i="14" s="1"/>
  <c r="H232" i="14"/>
  <c r="L232" i="14" s="1"/>
  <c r="H231" i="14"/>
  <c r="L231" i="14" s="1"/>
  <c r="H230" i="14"/>
  <c r="L230" i="14" s="1"/>
  <c r="H229" i="14"/>
  <c r="L229" i="14" s="1"/>
  <c r="H228" i="14"/>
  <c r="L228" i="14" s="1"/>
  <c r="H227" i="14"/>
  <c r="L227" i="14" s="1"/>
  <c r="H226" i="14"/>
  <c r="L226" i="14" s="1"/>
  <c r="H225" i="14"/>
  <c r="L225" i="14" s="1"/>
  <c r="H224" i="14"/>
  <c r="L224" i="14" s="1"/>
  <c r="H223" i="14"/>
  <c r="L223" i="14" s="1"/>
  <c r="H222" i="14"/>
  <c r="L222" i="14" s="1"/>
  <c r="H221" i="14"/>
  <c r="L221" i="14" s="1"/>
  <c r="H220" i="14"/>
  <c r="L220" i="14" s="1"/>
  <c r="H219" i="14"/>
  <c r="L219" i="14" s="1"/>
  <c r="H218" i="14"/>
  <c r="L218" i="14" s="1"/>
  <c r="H217" i="14"/>
  <c r="L217" i="14" s="1"/>
  <c r="H216" i="14"/>
  <c r="L216" i="14" s="1"/>
  <c r="H215" i="14"/>
  <c r="L215" i="14" s="1"/>
  <c r="H214" i="14"/>
  <c r="L214" i="14" s="1"/>
  <c r="H213" i="14"/>
  <c r="L213" i="14" s="1"/>
  <c r="H212" i="14"/>
  <c r="L212" i="14" s="1"/>
  <c r="H211" i="14"/>
  <c r="L211" i="14" s="1"/>
  <c r="H210" i="14"/>
  <c r="L210" i="14" s="1"/>
  <c r="H209" i="14"/>
  <c r="L209" i="14" s="1"/>
  <c r="H157" i="14"/>
  <c r="H202" i="14"/>
  <c r="L202" i="14" s="1"/>
  <c r="H201" i="14"/>
  <c r="L201" i="14" s="1"/>
  <c r="H200" i="14"/>
  <c r="L200" i="14" s="1"/>
  <c r="H199" i="14"/>
  <c r="H198" i="14"/>
  <c r="H197" i="14"/>
  <c r="H196" i="14"/>
  <c r="H195" i="14"/>
  <c r="H194" i="14"/>
  <c r="H193" i="14"/>
  <c r="H192" i="14"/>
  <c r="H191" i="14"/>
  <c r="H190" i="14"/>
  <c r="H189" i="14"/>
  <c r="H188" i="14"/>
  <c r="H187" i="14"/>
  <c r="H186" i="14"/>
  <c r="H185" i="14"/>
  <c r="H184" i="14"/>
  <c r="H183" i="14"/>
  <c r="H182" i="14"/>
  <c r="H181" i="14"/>
  <c r="H180" i="14"/>
  <c r="H179" i="14"/>
  <c r="H178" i="14"/>
  <c r="H177" i="14"/>
  <c r="H176" i="14"/>
  <c r="H175" i="14"/>
  <c r="H174" i="14"/>
  <c r="H173" i="14"/>
  <c r="H172" i="14"/>
  <c r="H171" i="14"/>
  <c r="H170" i="14"/>
  <c r="H169" i="14"/>
  <c r="H168" i="14"/>
  <c r="H167" i="14"/>
  <c r="H166" i="14"/>
  <c r="H165" i="14"/>
  <c r="H164" i="14"/>
  <c r="H163" i="14"/>
  <c r="H162" i="14"/>
  <c r="H160" i="14"/>
  <c r="H159" i="14"/>
  <c r="H161" i="14"/>
  <c r="H156" i="14"/>
  <c r="H251" i="14"/>
  <c r="H250" i="14"/>
  <c r="H249" i="14"/>
  <c r="H248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64" i="14"/>
  <c r="H63" i="14"/>
  <c r="H62" i="14"/>
  <c r="H61" i="14"/>
  <c r="H60" i="14"/>
  <c r="H59" i="14"/>
  <c r="H58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1" i="14"/>
  <c r="H130" i="14"/>
  <c r="H121" i="14"/>
  <c r="H122" i="14"/>
  <c r="H123" i="14"/>
  <c r="H124" i="14"/>
  <c r="H120" i="14"/>
  <c r="L244" i="14" l="1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L98" i="14"/>
  <c r="L99" i="14"/>
  <c r="L100" i="14"/>
  <c r="L101" i="14"/>
  <c r="L102" i="14"/>
  <c r="L103" i="14"/>
  <c r="L104" i="14"/>
  <c r="L105" i="14"/>
  <c r="L106" i="14"/>
  <c r="L107" i="14"/>
  <c r="L108" i="14"/>
  <c r="L109" i="14"/>
  <c r="L110" i="14"/>
  <c r="L111" i="14"/>
  <c r="L112" i="14"/>
  <c r="L113" i="14"/>
  <c r="L124" i="14"/>
  <c r="L123" i="14"/>
  <c r="L122" i="14"/>
  <c r="L121" i="14"/>
  <c r="L120" i="14"/>
  <c r="L64" i="14"/>
  <c r="L63" i="14"/>
  <c r="L62" i="14"/>
  <c r="L61" i="14"/>
  <c r="L33" i="14"/>
  <c r="L128" i="14" l="1"/>
  <c r="H13" i="31"/>
  <c r="M13" i="31" s="1"/>
  <c r="U13" i="31" s="1"/>
  <c r="P14" i="29"/>
  <c r="O13" i="29"/>
  <c r="N12" i="29"/>
  <c r="M11" i="29"/>
  <c r="Q14" i="29" l="1"/>
  <c r="Q13" i="29"/>
  <c r="Q12" i="29"/>
  <c r="Q11" i="29"/>
  <c r="H18" i="34"/>
  <c r="K18" i="34" s="1"/>
  <c r="R18" i="34" s="1"/>
  <c r="H17" i="34"/>
  <c r="K17" i="34" s="1"/>
  <c r="R17" i="34" s="1"/>
  <c r="H24" i="34"/>
  <c r="L24" i="34" s="1"/>
  <c r="R24" i="34" s="1"/>
  <c r="H23" i="34"/>
  <c r="L23" i="34" s="1"/>
  <c r="R23" i="34" s="1"/>
  <c r="H22" i="34"/>
  <c r="L22" i="34" s="1"/>
  <c r="R22" i="34" s="1"/>
  <c r="H21" i="34"/>
  <c r="L21" i="34" s="1"/>
  <c r="R21" i="34" s="1"/>
  <c r="H44" i="34"/>
  <c r="N44" i="34" s="1"/>
  <c r="R44" i="34" s="1"/>
  <c r="H43" i="34"/>
  <c r="N43" i="34" s="1"/>
  <c r="R43" i="34" s="1"/>
  <c r="H37" i="34"/>
  <c r="K37" i="34" s="1"/>
  <c r="R37" i="34" s="1"/>
  <c r="H38" i="34"/>
  <c r="K38" i="34" s="1"/>
  <c r="R38" i="34" s="1"/>
  <c r="H39" i="34"/>
  <c r="M39" i="34" s="1"/>
  <c r="R39" i="34" s="1"/>
  <c r="H40" i="34"/>
  <c r="M40" i="34" s="1"/>
  <c r="R40" i="34" s="1"/>
  <c r="H41" i="34"/>
  <c r="N41" i="34" s="1"/>
  <c r="R41" i="34" s="1"/>
  <c r="H42" i="34"/>
  <c r="N42" i="34" s="1"/>
  <c r="R42" i="34" s="1"/>
  <c r="H45" i="34"/>
  <c r="O45" i="34" s="1"/>
  <c r="R45" i="34" s="1"/>
  <c r="H46" i="34"/>
  <c r="O46" i="34" s="1"/>
  <c r="R46" i="34" s="1"/>
  <c r="H30" i="34"/>
  <c r="O30" i="34" s="1"/>
  <c r="R30" i="34" s="1"/>
  <c r="H29" i="34"/>
  <c r="O29" i="34" s="1"/>
  <c r="R29" i="34" s="1"/>
  <c r="H48" i="34"/>
  <c r="P48" i="34" s="1"/>
  <c r="R48" i="34" s="1"/>
  <c r="H47" i="34"/>
  <c r="P47" i="34" s="1"/>
  <c r="R47" i="34" s="1"/>
  <c r="H32" i="34"/>
  <c r="P32" i="34" s="1"/>
  <c r="R32" i="34" s="1"/>
  <c r="H27" i="34"/>
  <c r="O27" i="34" s="1"/>
  <c r="R27" i="34" s="1"/>
  <c r="H28" i="34"/>
  <c r="O28" i="34" s="1"/>
  <c r="R28" i="34" s="1"/>
  <c r="H31" i="34"/>
  <c r="P31" i="34" s="1"/>
  <c r="R31" i="34" s="1"/>
  <c r="C758" i="12"/>
  <c r="H758" i="12" s="1"/>
  <c r="I758" i="12" s="1"/>
  <c r="L758" i="12" s="1"/>
  <c r="C755" i="12"/>
  <c r="H755" i="12" s="1"/>
  <c r="I755" i="12" s="1"/>
  <c r="L755" i="12" s="1"/>
  <c r="C752" i="12"/>
  <c r="H752" i="12" s="1"/>
  <c r="I752" i="12" s="1"/>
  <c r="L752" i="12" s="1"/>
  <c r="C749" i="12"/>
  <c r="H749" i="12" s="1"/>
  <c r="I749" i="12" s="1"/>
  <c r="L749" i="12" s="1"/>
  <c r="C743" i="12"/>
  <c r="H743" i="12" s="1"/>
  <c r="I743" i="12" s="1"/>
  <c r="L743" i="12" s="1"/>
  <c r="C709" i="12"/>
  <c r="H709" i="12" s="1"/>
  <c r="I709" i="12" s="1"/>
  <c r="L709" i="12" s="1"/>
  <c r="C703" i="12"/>
  <c r="H703" i="12" s="1"/>
  <c r="I703" i="12" s="1"/>
  <c r="L703" i="12" s="1"/>
  <c r="D700" i="12"/>
  <c r="C701" i="12"/>
  <c r="H701" i="12" s="1"/>
  <c r="I701" i="12" s="1"/>
  <c r="L701" i="12" s="1"/>
  <c r="D695" i="12"/>
  <c r="C697" i="12"/>
  <c r="H697" i="12" s="1"/>
  <c r="I697" i="12" s="1"/>
  <c r="L697" i="12" s="1"/>
  <c r="D693" i="12"/>
  <c r="C694" i="12"/>
  <c r="H694" i="12" s="1"/>
  <c r="I694" i="12" s="1"/>
  <c r="L694" i="12" s="1"/>
  <c r="D691" i="12"/>
  <c r="C692" i="12"/>
  <c r="H692" i="12" s="1"/>
  <c r="I692" i="12" s="1"/>
  <c r="L692" i="12" s="1"/>
  <c r="C690" i="12"/>
  <c r="H690" i="12" s="1"/>
  <c r="I690" i="12" s="1"/>
  <c r="L690" i="12" s="1"/>
  <c r="D687" i="12"/>
  <c r="C688" i="12"/>
  <c r="H688" i="12" s="1"/>
  <c r="I688" i="12" s="1"/>
  <c r="L688" i="12" s="1"/>
  <c r="C664" i="12"/>
  <c r="H664" i="12" s="1"/>
  <c r="I664" i="12" s="1"/>
  <c r="L664" i="12" s="1"/>
  <c r="C661" i="12"/>
  <c r="H661" i="12" s="1"/>
  <c r="I661" i="12" s="1"/>
  <c r="L661" i="12" s="1"/>
  <c r="C658" i="12"/>
  <c r="H658" i="12" s="1"/>
  <c r="I658" i="12" s="1"/>
  <c r="L658" i="12" s="1"/>
  <c r="C632" i="12"/>
  <c r="H632" i="12" s="1"/>
  <c r="I632" i="12" s="1"/>
  <c r="L632" i="12" s="1"/>
  <c r="C625" i="12"/>
  <c r="H625" i="12" s="1"/>
  <c r="I625" i="12" s="1"/>
  <c r="L625" i="12" s="1"/>
  <c r="C621" i="12"/>
  <c r="H621" i="12" s="1"/>
  <c r="I621" i="12" s="1"/>
  <c r="L621" i="12" s="1"/>
  <c r="C614" i="12"/>
  <c r="H614" i="12" s="1"/>
  <c r="I614" i="12" s="1"/>
  <c r="L614" i="12" s="1"/>
  <c r="C607" i="12"/>
  <c r="H607" i="12" s="1"/>
  <c r="I607" i="12" s="1"/>
  <c r="L607" i="12" s="1"/>
  <c r="C605" i="12"/>
  <c r="H605" i="12" s="1"/>
  <c r="I605" i="12" s="1"/>
  <c r="L605" i="12" s="1"/>
  <c r="C600" i="12"/>
  <c r="H600" i="12" s="1"/>
  <c r="I600" i="12" s="1"/>
  <c r="L600" i="12" s="1"/>
  <c r="C596" i="12"/>
  <c r="H596" i="12" s="1"/>
  <c r="I596" i="12" s="1"/>
  <c r="L596" i="12" s="1"/>
  <c r="C594" i="12"/>
  <c r="H594" i="12" s="1"/>
  <c r="I594" i="12" s="1"/>
  <c r="L594" i="12" s="1"/>
  <c r="D590" i="12"/>
  <c r="C591" i="12"/>
  <c r="H591" i="12" s="1"/>
  <c r="I591" i="12" s="1"/>
  <c r="L591" i="12" s="1"/>
  <c r="D588" i="12"/>
  <c r="C589" i="12"/>
  <c r="H589" i="12" s="1"/>
  <c r="I589" i="12" s="1"/>
  <c r="L589" i="12" s="1"/>
  <c r="C587" i="12"/>
  <c r="H587" i="12" s="1"/>
  <c r="I587" i="12" s="1"/>
  <c r="L587" i="12" s="1"/>
  <c r="D586" i="12"/>
  <c r="C585" i="12"/>
  <c r="H585" i="12" s="1"/>
  <c r="I585" i="12" s="1"/>
  <c r="L585" i="12" s="1"/>
  <c r="C583" i="12"/>
  <c r="H583" i="12" s="1"/>
  <c r="I583" i="12" s="1"/>
  <c r="L583" i="12" s="1"/>
  <c r="C581" i="12"/>
  <c r="H581" i="12" s="1"/>
  <c r="C561" i="12"/>
  <c r="H561" i="12" s="1"/>
  <c r="I561" i="12" s="1"/>
  <c r="L561" i="12" s="1"/>
  <c r="C558" i="12"/>
  <c r="H558" i="12" s="1"/>
  <c r="I558" i="12" s="1"/>
  <c r="L558" i="12" s="1"/>
  <c r="C555" i="12"/>
  <c r="H555" i="12" s="1"/>
  <c r="I555" i="12" s="1"/>
  <c r="L555" i="12" s="1"/>
  <c r="C552" i="12"/>
  <c r="H552" i="12" s="1"/>
  <c r="I552" i="12" s="1"/>
  <c r="L552" i="12" s="1"/>
  <c r="C549" i="12"/>
  <c r="H549" i="12" s="1"/>
  <c r="I549" i="12" s="1"/>
  <c r="L549" i="12" s="1"/>
  <c r="C534" i="12"/>
  <c r="H534" i="12" s="1"/>
  <c r="I534" i="12" s="1"/>
  <c r="L534" i="12" s="1"/>
  <c r="C531" i="12"/>
  <c r="H531" i="12" s="1"/>
  <c r="I531" i="12" s="1"/>
  <c r="L531" i="12" s="1"/>
  <c r="C528" i="12"/>
  <c r="H528" i="12" s="1"/>
  <c r="I528" i="12" s="1"/>
  <c r="L528" i="12" s="1"/>
  <c r="C516" i="12"/>
  <c r="H516" i="12" s="1"/>
  <c r="I516" i="12" s="1"/>
  <c r="L516" i="12" s="1"/>
  <c r="D508" i="12"/>
  <c r="C509" i="12"/>
  <c r="H509" i="12" s="1"/>
  <c r="I509" i="12" s="1"/>
  <c r="L509" i="12" s="1"/>
  <c r="D507" i="12"/>
  <c r="R50" i="34" l="1"/>
  <c r="I581" i="12"/>
  <c r="Q15" i="29"/>
  <c r="C486" i="12"/>
  <c r="H486" i="12" s="1"/>
  <c r="I486" i="12" s="1"/>
  <c r="L486" i="12" s="1"/>
  <c r="C483" i="12"/>
  <c r="H483" i="12" s="1"/>
  <c r="I483" i="12" s="1"/>
  <c r="L483" i="12" s="1"/>
  <c r="C480" i="12"/>
  <c r="H480" i="12" s="1"/>
  <c r="I480" i="12" s="1"/>
  <c r="L480" i="12" s="1"/>
  <c r="D474" i="12"/>
  <c r="C475" i="12"/>
  <c r="H475" i="12" s="1"/>
  <c r="I475" i="12" s="1"/>
  <c r="L475" i="12" s="1"/>
  <c r="D472" i="12"/>
  <c r="C473" i="12"/>
  <c r="H473" i="12" s="1"/>
  <c r="I473" i="12" s="1"/>
  <c r="L473" i="12" s="1"/>
  <c r="C471" i="12"/>
  <c r="H471" i="12" s="1"/>
  <c r="I471" i="12" s="1"/>
  <c r="L471" i="12" s="1"/>
  <c r="C467" i="12"/>
  <c r="H467" i="12" s="1"/>
  <c r="I467" i="12" s="1"/>
  <c r="L467" i="12" s="1"/>
  <c r="C465" i="12"/>
  <c r="H465" i="12" s="1"/>
  <c r="I465" i="12" s="1"/>
  <c r="L465" i="12" s="1"/>
  <c r="C462" i="12"/>
  <c r="H462" i="12" s="1"/>
  <c r="I462" i="12" s="1"/>
  <c r="L462" i="12" s="1"/>
  <c r="C460" i="12"/>
  <c r="H460" i="12" s="1"/>
  <c r="I460" i="12" s="1"/>
  <c r="L460" i="12" s="1"/>
  <c r="D457" i="12"/>
  <c r="C458" i="12"/>
  <c r="H458" i="12" s="1"/>
  <c r="I458" i="12" s="1"/>
  <c r="L458" i="12" s="1"/>
  <c r="C456" i="12"/>
  <c r="H456" i="12" s="1"/>
  <c r="I456" i="12" s="1"/>
  <c r="L456" i="12" s="1"/>
  <c r="D453" i="12"/>
  <c r="C454" i="12"/>
  <c r="H454" i="12" s="1"/>
  <c r="I454" i="12" s="1"/>
  <c r="L454" i="12" s="1"/>
  <c r="L581" i="12" l="1"/>
  <c r="C439" i="12"/>
  <c r="H439" i="12" s="1"/>
  <c r="I439" i="12" s="1"/>
  <c r="L439" i="12" s="1"/>
  <c r="C428" i="12"/>
  <c r="H428" i="12" s="1"/>
  <c r="I428" i="12" s="1"/>
  <c r="L428" i="12" s="1"/>
  <c r="C425" i="12"/>
  <c r="H425" i="12" s="1"/>
  <c r="I425" i="12" s="1"/>
  <c r="L425" i="12" s="1"/>
  <c r="C423" i="12"/>
  <c r="H423" i="12" s="1"/>
  <c r="I423" i="12" s="1"/>
  <c r="L423" i="12" s="1"/>
  <c r="C420" i="12"/>
  <c r="H420" i="12" s="1"/>
  <c r="I420" i="12" s="1"/>
  <c r="L420" i="12" s="1"/>
  <c r="C417" i="12"/>
  <c r="H417" i="12" s="1"/>
  <c r="I417" i="12" s="1"/>
  <c r="L417" i="12" s="1"/>
  <c r="C413" i="12"/>
  <c r="H413" i="12" s="1"/>
  <c r="I413" i="12" s="1"/>
  <c r="L413" i="12" s="1"/>
  <c r="C409" i="12"/>
  <c r="H409" i="12" s="1"/>
  <c r="I409" i="12" s="1"/>
  <c r="L409" i="12" s="1"/>
  <c r="C403" i="12"/>
  <c r="H403" i="12" s="1"/>
  <c r="I403" i="12" s="1"/>
  <c r="L403" i="12" s="1"/>
  <c r="C392" i="12"/>
  <c r="H392" i="12" s="1"/>
  <c r="I392" i="12" s="1"/>
  <c r="L392" i="12" s="1"/>
  <c r="C390" i="12"/>
  <c r="H390" i="12" s="1"/>
  <c r="I390" i="12" s="1"/>
  <c r="L390" i="12" s="1"/>
  <c r="C383" i="12"/>
  <c r="H383" i="12" s="1"/>
  <c r="I383" i="12" s="1"/>
  <c r="L383" i="12" s="1"/>
  <c r="D376" i="12"/>
  <c r="C377" i="12"/>
  <c r="H377" i="12" s="1"/>
  <c r="I377" i="12" s="1"/>
  <c r="L377" i="12" s="1"/>
  <c r="C375" i="12"/>
  <c r="H375" i="12" s="1"/>
  <c r="I375" i="12" s="1"/>
  <c r="L375" i="12" s="1"/>
  <c r="D372" i="12"/>
  <c r="C373" i="12"/>
  <c r="H373" i="12" s="1"/>
  <c r="I373" i="12" s="1"/>
  <c r="L373" i="12" s="1"/>
  <c r="D367" i="12"/>
  <c r="C369" i="12"/>
  <c r="H369" i="12" s="1"/>
  <c r="I369" i="12" s="1"/>
  <c r="L369" i="12" s="1"/>
  <c r="D365" i="12"/>
  <c r="C366" i="12"/>
  <c r="H366" i="12" s="1"/>
  <c r="I366" i="12" s="1"/>
  <c r="L366" i="12" s="1"/>
  <c r="C364" i="12"/>
  <c r="H364" i="12" s="1"/>
  <c r="I364" i="12" s="1"/>
  <c r="L364" i="12" s="1"/>
  <c r="D361" i="12"/>
  <c r="C362" i="12"/>
  <c r="H362" i="12" s="1"/>
  <c r="I362" i="12" s="1"/>
  <c r="L362" i="12" s="1"/>
  <c r="D359" i="12"/>
  <c r="C359" i="12" s="1"/>
  <c r="H360" i="12"/>
  <c r="I360" i="12" s="1"/>
  <c r="L360" i="12" s="1"/>
  <c r="C341" i="12"/>
  <c r="H341" i="12" s="1"/>
  <c r="I341" i="12" s="1"/>
  <c r="L341" i="12" s="1"/>
  <c r="D340" i="12"/>
  <c r="D337" i="12"/>
  <c r="C339" i="12"/>
  <c r="H339" i="12" s="1"/>
  <c r="I339" i="12" s="1"/>
  <c r="L339" i="12" s="1"/>
  <c r="D334" i="12"/>
  <c r="C336" i="12"/>
  <c r="H336" i="12" s="1"/>
  <c r="I336" i="12" s="1"/>
  <c r="L336" i="12" s="1"/>
  <c r="C338" i="12"/>
  <c r="H338" i="12" s="1"/>
  <c r="I338" i="12" s="1"/>
  <c r="L338" i="12" s="1"/>
  <c r="C335" i="12"/>
  <c r="H335" i="12" s="1"/>
  <c r="I335" i="12" s="1"/>
  <c r="L335" i="12" s="1"/>
  <c r="C332" i="12"/>
  <c r="H332" i="12" s="1"/>
  <c r="I332" i="12" s="1"/>
  <c r="L332" i="12" s="1"/>
  <c r="D327" i="12"/>
  <c r="C328" i="12"/>
  <c r="H328" i="12" s="1"/>
  <c r="I328" i="12" s="1"/>
  <c r="L328" i="12" s="1"/>
  <c r="C325" i="12"/>
  <c r="H325" i="12" s="1"/>
  <c r="I325" i="12" s="1"/>
  <c r="L325" i="12" s="1"/>
  <c r="D321" i="12"/>
  <c r="C322" i="12"/>
  <c r="H322" i="12" s="1"/>
  <c r="I322" i="12" s="1"/>
  <c r="L322" i="12" s="1"/>
  <c r="C320" i="12"/>
  <c r="H320" i="12" s="1"/>
  <c r="I320" i="12" s="1"/>
  <c r="L320" i="12" s="1"/>
  <c r="D225" i="13"/>
  <c r="D214" i="11"/>
  <c r="C317" i="12"/>
  <c r="H317" i="12" s="1"/>
  <c r="I317" i="12" s="1"/>
  <c r="L317" i="12" s="1"/>
  <c r="D314" i="12"/>
  <c r="C315" i="12"/>
  <c r="H315" i="12" s="1"/>
  <c r="I315" i="12" s="1"/>
  <c r="L315" i="12" s="1"/>
  <c r="C313" i="12"/>
  <c r="H313" i="12" s="1"/>
  <c r="I313" i="12" s="1"/>
  <c r="L313" i="12" s="1"/>
  <c r="C309" i="12"/>
  <c r="H309" i="12" s="1"/>
  <c r="I309" i="12" s="1"/>
  <c r="L309" i="12" s="1"/>
  <c r="D305" i="12"/>
  <c r="C306" i="12"/>
  <c r="H306" i="12" s="1"/>
  <c r="I306" i="12" s="1"/>
  <c r="L306" i="12" s="1"/>
  <c r="D303" i="12"/>
  <c r="C304" i="12"/>
  <c r="H304" i="12" s="1"/>
  <c r="I304" i="12" s="1"/>
  <c r="L304" i="12" s="1"/>
  <c r="C302" i="12"/>
  <c r="H302" i="12" s="1"/>
  <c r="I302" i="12" s="1"/>
  <c r="L302" i="12" s="1"/>
  <c r="D203" i="11"/>
  <c r="D291" i="12"/>
  <c r="C292" i="12"/>
  <c r="H292" i="12" s="1"/>
  <c r="I292" i="12" s="1"/>
  <c r="L292" i="12" s="1"/>
  <c r="C290" i="12"/>
  <c r="H290" i="12" s="1"/>
  <c r="I290" i="12" s="1"/>
  <c r="L290" i="12" s="1"/>
  <c r="C283" i="12"/>
  <c r="H283" i="12" s="1"/>
  <c r="I283" i="12" s="1"/>
  <c r="L283" i="12" s="1"/>
  <c r="C279" i="12"/>
  <c r="H279" i="12" s="1"/>
  <c r="I279" i="12" s="1"/>
  <c r="L279" i="12" s="1"/>
  <c r="D276" i="12"/>
  <c r="C277" i="12"/>
  <c r="H277" i="12" s="1"/>
  <c r="I277" i="12" s="1"/>
  <c r="L277" i="12" s="1"/>
  <c r="D274" i="12"/>
  <c r="C275" i="12"/>
  <c r="H275" i="12" s="1"/>
  <c r="I275" i="12" s="1"/>
  <c r="L275" i="12" s="1"/>
  <c r="C267" i="12"/>
  <c r="H267" i="12" s="1"/>
  <c r="I267" i="12" s="1"/>
  <c r="L267" i="12" s="1"/>
  <c r="C265" i="12"/>
  <c r="H265" i="12" s="1"/>
  <c r="I265" i="12" s="1"/>
  <c r="L265" i="12" s="1"/>
  <c r="C124" i="12" l="1"/>
  <c r="H124" i="12" s="1"/>
  <c r="I124" i="12" s="1"/>
  <c r="L124" i="12" s="1"/>
  <c r="C122" i="12"/>
  <c r="H122" i="12" s="1"/>
  <c r="I122" i="12" s="1"/>
  <c r="L122" i="12" s="1"/>
  <c r="C116" i="12"/>
  <c r="H116" i="12" s="1"/>
  <c r="I116" i="12" s="1"/>
  <c r="L116" i="12" s="1"/>
  <c r="C114" i="12"/>
  <c r="H114" i="12" s="1"/>
  <c r="I114" i="12" s="1"/>
  <c r="L114" i="12" s="1"/>
  <c r="C90" i="12"/>
  <c r="H90" i="12" s="1"/>
  <c r="I90" i="12" s="1"/>
  <c r="L90" i="12" s="1"/>
  <c r="D87" i="12"/>
  <c r="C88" i="12"/>
  <c r="H88" i="12" s="1"/>
  <c r="I88" i="12" s="1"/>
  <c r="L88" i="12" s="1"/>
  <c r="D85" i="12"/>
  <c r="C86" i="12"/>
  <c r="H86" i="12" s="1"/>
  <c r="I86" i="12" s="1"/>
  <c r="L86" i="12" s="1"/>
  <c r="C81" i="12"/>
  <c r="H81" i="12" s="1"/>
  <c r="I81" i="12" s="1"/>
  <c r="L81" i="12" s="1"/>
  <c r="C77" i="12"/>
  <c r="H77" i="12" s="1"/>
  <c r="I77" i="12" s="1"/>
  <c r="L77" i="12" s="1"/>
  <c r="C70" i="12"/>
  <c r="H70" i="12" s="1"/>
  <c r="I70" i="12" s="1"/>
  <c r="L70" i="12" s="1"/>
  <c r="D41" i="11"/>
  <c r="D71" i="12"/>
  <c r="C72" i="12"/>
  <c r="H72" i="12" s="1"/>
  <c r="I72" i="12" s="1"/>
  <c r="L72" i="12" s="1"/>
  <c r="C68" i="12"/>
  <c r="H68" i="12" s="1"/>
  <c r="I68" i="12" s="1"/>
  <c r="L68" i="12" s="1"/>
  <c r="C66" i="12"/>
  <c r="H66" i="12" s="1"/>
  <c r="I66" i="12" s="1"/>
  <c r="L66" i="12" s="1"/>
  <c r="C64" i="12"/>
  <c r="H64" i="12" s="1"/>
  <c r="I64" i="12" s="1"/>
  <c r="L64" i="12" s="1"/>
  <c r="C62" i="12"/>
  <c r="H62" i="12" s="1"/>
  <c r="I62" i="12" s="1"/>
  <c r="L62" i="12" s="1"/>
  <c r="C60" i="12"/>
  <c r="H60" i="12" s="1"/>
  <c r="I60" i="12" s="1"/>
  <c r="L60" i="12" s="1"/>
  <c r="C57" i="12"/>
  <c r="H57" i="12" s="1"/>
  <c r="I57" i="12" s="1"/>
  <c r="L57" i="12" s="1"/>
  <c r="D49" i="12"/>
  <c r="C50" i="12"/>
  <c r="H50" i="12" s="1"/>
  <c r="I50" i="12" s="1"/>
  <c r="L50" i="12" s="1"/>
  <c r="D47" i="12"/>
  <c r="C48" i="12"/>
  <c r="H48" i="12" s="1"/>
  <c r="I48" i="12" s="1"/>
  <c r="L48" i="12" s="1"/>
  <c r="C46" i="12"/>
  <c r="H46" i="12" s="1"/>
  <c r="I46" i="12" s="1"/>
  <c r="L46" i="12" s="1"/>
  <c r="C41" i="12"/>
  <c r="H41" i="12" s="1"/>
  <c r="I41" i="12" s="1"/>
  <c r="L41" i="12" s="1"/>
  <c r="C39" i="12"/>
  <c r="H39" i="12" s="1"/>
  <c r="I39" i="12" s="1"/>
  <c r="L39" i="12" s="1"/>
  <c r="D34" i="12"/>
  <c r="C35" i="12"/>
  <c r="H35" i="12" s="1"/>
  <c r="I35" i="12" s="1"/>
  <c r="L35" i="12" s="1"/>
  <c r="C33" i="12"/>
  <c r="H33" i="12" s="1"/>
  <c r="I33" i="12" s="1"/>
  <c r="L33" i="12" s="1"/>
  <c r="D24" i="12"/>
  <c r="C23" i="12"/>
  <c r="H23" i="12" s="1"/>
  <c r="D20" i="12"/>
  <c r="C21" i="12"/>
  <c r="H21" i="12" s="1"/>
  <c r="I21" i="12" s="1"/>
  <c r="L21" i="12" s="1"/>
  <c r="C243" i="12"/>
  <c r="H243" i="12" s="1"/>
  <c r="I243" i="12" s="1"/>
  <c r="L243" i="12" s="1"/>
  <c r="D238" i="12"/>
  <c r="C239" i="12"/>
  <c r="H239" i="12" s="1"/>
  <c r="I239" i="12" s="1"/>
  <c r="L239" i="12" s="1"/>
  <c r="C237" i="12"/>
  <c r="H237" i="12" s="1"/>
  <c r="I237" i="12" s="1"/>
  <c r="L237" i="12" s="1"/>
  <c r="D233" i="12"/>
  <c r="C234" i="12"/>
  <c r="H234" i="12" s="1"/>
  <c r="I234" i="12" s="1"/>
  <c r="L234" i="12" s="1"/>
  <c r="C231" i="12"/>
  <c r="H231" i="12" s="1"/>
  <c r="I231" i="12" s="1"/>
  <c r="L231" i="12" s="1"/>
  <c r="D228" i="12"/>
  <c r="C229" i="12"/>
  <c r="H229" i="12" s="1"/>
  <c r="I229" i="12" s="1"/>
  <c r="L229" i="12" s="1"/>
  <c r="D226" i="12"/>
  <c r="C227" i="12"/>
  <c r="H227" i="12" s="1"/>
  <c r="I227" i="12" s="1"/>
  <c r="L227" i="12" s="1"/>
  <c r="C225" i="12"/>
  <c r="H225" i="12" s="1"/>
  <c r="I225" i="12" s="1"/>
  <c r="L225" i="12" s="1"/>
  <c r="D218" i="12"/>
  <c r="D211" i="12"/>
  <c r="C212" i="12"/>
  <c r="H212" i="12" s="1"/>
  <c r="I212" i="12" s="1"/>
  <c r="L212" i="12" s="1"/>
  <c r="C210" i="12"/>
  <c r="H210" i="12" s="1"/>
  <c r="I210" i="12" s="1"/>
  <c r="L210" i="12" s="1"/>
  <c r="C203" i="12"/>
  <c r="H203" i="12" s="1"/>
  <c r="I203" i="12" s="1"/>
  <c r="L203" i="12" s="1"/>
  <c r="C197" i="12"/>
  <c r="H197" i="12" s="1"/>
  <c r="I197" i="12" s="1"/>
  <c r="L197" i="12" s="1"/>
  <c r="D187" i="12"/>
  <c r="C188" i="12"/>
  <c r="H188" i="12" s="1"/>
  <c r="I188" i="12" s="1"/>
  <c r="L188" i="12" s="1"/>
  <c r="D185" i="12"/>
  <c r="C186" i="12"/>
  <c r="H186" i="12" s="1"/>
  <c r="I186" i="12" s="1"/>
  <c r="L186" i="12" s="1"/>
  <c r="D183" i="12"/>
  <c r="C184" i="12"/>
  <c r="H184" i="12" s="1"/>
  <c r="I184" i="12" s="1"/>
  <c r="L184" i="12" s="1"/>
  <c r="C182" i="12"/>
  <c r="H182" i="12" s="1"/>
  <c r="I182" i="12" s="1"/>
  <c r="L182" i="12" s="1"/>
  <c r="C180" i="12"/>
  <c r="H180" i="12" s="1"/>
  <c r="I180" i="12" s="1"/>
  <c r="L180" i="12" s="1"/>
  <c r="C178" i="12"/>
  <c r="H178" i="12" s="1"/>
  <c r="I178" i="12" s="1"/>
  <c r="L178" i="12" s="1"/>
  <c r="C176" i="12"/>
  <c r="H176" i="12" s="1"/>
  <c r="I176" i="12" s="1"/>
  <c r="L176" i="12" s="1"/>
  <c r="D173" i="12"/>
  <c r="C174" i="12"/>
  <c r="H174" i="12" s="1"/>
  <c r="I174" i="12" s="1"/>
  <c r="L174" i="12" s="1"/>
  <c r="D171" i="12"/>
  <c r="C172" i="12"/>
  <c r="H172" i="12" s="1"/>
  <c r="I172" i="12" s="1"/>
  <c r="L172" i="12" s="1"/>
  <c r="D169" i="12"/>
  <c r="C170" i="12"/>
  <c r="H170" i="12" s="1"/>
  <c r="I170" i="12" s="1"/>
  <c r="L170" i="12" s="1"/>
  <c r="D167" i="12"/>
  <c r="C168" i="12"/>
  <c r="H168" i="12" s="1"/>
  <c r="J168" i="12" s="1"/>
  <c r="J249" i="12" s="1"/>
  <c r="C162" i="12"/>
  <c r="H162" i="12" s="1"/>
  <c r="I162" i="12" s="1"/>
  <c r="L162" i="12" s="1"/>
  <c r="D157" i="12"/>
  <c r="C158" i="12"/>
  <c r="H158" i="12" s="1"/>
  <c r="I158" i="12" s="1"/>
  <c r="L158" i="12" s="1"/>
  <c r="C151" i="12"/>
  <c r="H151" i="12" s="1"/>
  <c r="I151" i="12" s="1"/>
  <c r="L151" i="12" s="1"/>
  <c r="D147" i="12"/>
  <c r="C149" i="12"/>
  <c r="H149" i="12" s="1"/>
  <c r="I149" i="12" s="1"/>
  <c r="L149" i="12" s="1"/>
  <c r="C146" i="12"/>
  <c r="H146" i="12" s="1"/>
  <c r="I146" i="12" s="1"/>
  <c r="L146" i="12" s="1"/>
  <c r="C144" i="12"/>
  <c r="H144" i="12" s="1"/>
  <c r="I144" i="12" s="1"/>
  <c r="L144" i="12" s="1"/>
  <c r="C142" i="12"/>
  <c r="H142" i="12" s="1"/>
  <c r="I142" i="12" s="1"/>
  <c r="L142" i="12" s="1"/>
  <c r="C140" i="12"/>
  <c r="H19" i="34"/>
  <c r="L19" i="34" s="1"/>
  <c r="R19" i="34" s="1"/>
  <c r="H20" i="34"/>
  <c r="L20" i="34" s="1"/>
  <c r="R20" i="34" s="1"/>
  <c r="H25" i="34"/>
  <c r="H26" i="34"/>
  <c r="L71" i="14"/>
  <c r="L60" i="14"/>
  <c r="L59" i="14"/>
  <c r="L58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1" i="14"/>
  <c r="L130" i="14"/>
  <c r="H11" i="34"/>
  <c r="J11" i="34" s="1"/>
  <c r="R11" i="34" s="1"/>
  <c r="H12" i="34"/>
  <c r="J12" i="34" s="1"/>
  <c r="R12" i="34" s="1"/>
  <c r="H13" i="34"/>
  <c r="J13" i="34" s="1"/>
  <c r="R13" i="34" s="1"/>
  <c r="H14" i="34"/>
  <c r="J14" i="34" s="1"/>
  <c r="R14" i="34" s="1"/>
  <c r="H16" i="34"/>
  <c r="H15" i="34"/>
  <c r="I23" i="12" l="1"/>
  <c r="L133" i="14"/>
  <c r="L1145" i="14" s="1"/>
  <c r="L67" i="14"/>
  <c r="L116" i="14"/>
  <c r="L1142" i="14" s="1"/>
  <c r="Q168" i="12"/>
  <c r="H140" i="12"/>
  <c r="H249" i="12" s="1"/>
  <c r="L140" i="12"/>
  <c r="M25" i="34"/>
  <c r="R25" i="34" s="1"/>
  <c r="M26" i="34"/>
  <c r="R26" i="34" s="1"/>
  <c r="K15" i="34"/>
  <c r="R15" i="34" s="1"/>
  <c r="K16" i="34"/>
  <c r="R16" i="34" s="1"/>
  <c r="L23" i="12" l="1"/>
  <c r="I140" i="12"/>
  <c r="I249" i="12" s="1"/>
  <c r="R33" i="34"/>
  <c r="L157" i="14"/>
  <c r="L199" i="14"/>
  <c r="L198" i="14"/>
  <c r="L197" i="14"/>
  <c r="L196" i="14"/>
  <c r="L195" i="14"/>
  <c r="L194" i="14"/>
  <c r="L193" i="14"/>
  <c r="L192" i="14"/>
  <c r="L191" i="14"/>
  <c r="L251" i="14"/>
  <c r="L250" i="14"/>
  <c r="L190" i="14"/>
  <c r="L189" i="14"/>
  <c r="L188" i="14"/>
  <c r="L187" i="14"/>
  <c r="L186" i="14"/>
  <c r="L185" i="14"/>
  <c r="L184" i="14"/>
  <c r="L183" i="14"/>
  <c r="L182" i="14"/>
  <c r="L181" i="14"/>
  <c r="L180" i="14"/>
  <c r="L179" i="14"/>
  <c r="L178" i="14"/>
  <c r="L177" i="14"/>
  <c r="L175" i="14"/>
  <c r="L174" i="14"/>
  <c r="L173" i="14"/>
  <c r="L172" i="14"/>
  <c r="L171" i="14"/>
  <c r="L170" i="14"/>
  <c r="L169" i="14"/>
  <c r="L168" i="14"/>
  <c r="L167" i="14"/>
  <c r="L166" i="14"/>
  <c r="L165" i="14"/>
  <c r="L164" i="14"/>
  <c r="L163" i="14"/>
  <c r="L162" i="14"/>
  <c r="L160" i="14"/>
  <c r="L159" i="14"/>
  <c r="L161" i="14"/>
  <c r="L248" i="14"/>
  <c r="L249" i="14"/>
  <c r="L156" i="14"/>
  <c r="L254" i="14" l="1"/>
  <c r="L1143" i="14" s="1"/>
  <c r="L176" i="14"/>
  <c r="L205" i="14" s="1"/>
  <c r="L1141" i="14" s="1"/>
  <c r="O22" i="31"/>
  <c r="U22" i="31" s="1"/>
  <c r="N21" i="31"/>
  <c r="U21" i="31" s="1"/>
  <c r="M20" i="31"/>
  <c r="U20" i="31" s="1"/>
  <c r="L19" i="31"/>
  <c r="U19" i="31" s="1"/>
  <c r="R160" i="28"/>
  <c r="T160" i="28" s="1"/>
  <c r="R159" i="28"/>
  <c r="H72" i="28"/>
  <c r="R72" i="28" s="1"/>
  <c r="T72" i="28" s="1"/>
  <c r="H70" i="28"/>
  <c r="R70" i="28" s="1"/>
  <c r="T70" i="28" s="1"/>
  <c r="H71" i="28"/>
  <c r="R71" i="28" s="1"/>
  <c r="T71" i="28" s="1"/>
  <c r="H73" i="28"/>
  <c r="R73" i="28" s="1"/>
  <c r="T73" i="28" s="1"/>
  <c r="H74" i="28"/>
  <c r="R74" i="28" s="1"/>
  <c r="T74" i="28" s="1"/>
  <c r="H34" i="28"/>
  <c r="R34" i="28" s="1"/>
  <c r="T34" i="28" s="1"/>
  <c r="R56" i="28"/>
  <c r="T56" i="28" s="1"/>
  <c r="H58" i="28"/>
  <c r="R58" i="28" s="1"/>
  <c r="T58" i="28" s="1"/>
  <c r="H57" i="28"/>
  <c r="R57" i="28" s="1"/>
  <c r="T57" i="28" s="1"/>
  <c r="H56" i="28"/>
  <c r="H117" i="28"/>
  <c r="R117" i="28" s="1"/>
  <c r="T117" i="28" s="1"/>
  <c r="T159" i="28"/>
  <c r="H160" i="28"/>
  <c r="H159" i="28"/>
  <c r="H81" i="28"/>
  <c r="Q81" i="28" s="1"/>
  <c r="T81" i="28" s="1"/>
  <c r="H33" i="28"/>
  <c r="Q33" i="28" s="1"/>
  <c r="T33" i="28" s="1"/>
  <c r="H32" i="28"/>
  <c r="Q32" i="28" s="1"/>
  <c r="T32" i="28" s="1"/>
  <c r="H20" i="28"/>
  <c r="Q20" i="28" s="1"/>
  <c r="T20" i="28" s="1"/>
  <c r="H54" i="28"/>
  <c r="Q54" i="28" s="1"/>
  <c r="T54" i="28" s="1"/>
  <c r="H55" i="28"/>
  <c r="Q55" i="28" s="1"/>
  <c r="T55" i="28" s="1"/>
  <c r="H104" i="28"/>
  <c r="Q104" i="28" s="1"/>
  <c r="T104" i="28" s="1"/>
  <c r="H103" i="28"/>
  <c r="H116" i="28"/>
  <c r="Q116" i="28" s="1"/>
  <c r="T116" i="28" s="1"/>
  <c r="H157" i="28"/>
  <c r="Q157" i="28" s="1"/>
  <c r="T157" i="28" s="1"/>
  <c r="H158" i="28"/>
  <c r="Q158" i="28" s="1"/>
  <c r="T158" i="28" s="1"/>
  <c r="H114" i="28"/>
  <c r="P114" i="28" s="1"/>
  <c r="T114" i="28" s="1"/>
  <c r="H115" i="28"/>
  <c r="P115" i="28" s="1"/>
  <c r="T115" i="28" s="1"/>
  <c r="H50" i="28"/>
  <c r="P50" i="28" s="1"/>
  <c r="T50" i="28" s="1"/>
  <c r="H49" i="28"/>
  <c r="P49" i="28" s="1"/>
  <c r="T49" i="28" s="1"/>
  <c r="H48" i="28"/>
  <c r="P48" i="28" s="1"/>
  <c r="T48" i="28" s="1"/>
  <c r="H51" i="28"/>
  <c r="P51" i="28" s="1"/>
  <c r="T51" i="28" s="1"/>
  <c r="H52" i="28"/>
  <c r="P52" i="28" s="1"/>
  <c r="T52" i="28" s="1"/>
  <c r="H53" i="28"/>
  <c r="P53" i="28" s="1"/>
  <c r="T53" i="28" s="1"/>
  <c r="H26" i="28"/>
  <c r="P26" i="28" s="1"/>
  <c r="T26" i="28" s="1"/>
  <c r="H27" i="28"/>
  <c r="P27" i="28" s="1"/>
  <c r="T27" i="28" s="1"/>
  <c r="H28" i="28"/>
  <c r="P28" i="28" s="1"/>
  <c r="T28" i="28" s="1"/>
  <c r="H29" i="28"/>
  <c r="P29" i="28" s="1"/>
  <c r="T29" i="28" s="1"/>
  <c r="H30" i="28"/>
  <c r="P30" i="28" s="1"/>
  <c r="T30" i="28" s="1"/>
  <c r="H31" i="28"/>
  <c r="P31" i="28" s="1"/>
  <c r="T31" i="28" s="1"/>
  <c r="H82" i="28"/>
  <c r="H80" i="28"/>
  <c r="Q80" i="28" s="1"/>
  <c r="H79" i="28"/>
  <c r="O79" i="28" s="1"/>
  <c r="T79" i="28" s="1"/>
  <c r="H156" i="28"/>
  <c r="P156" i="28" s="1"/>
  <c r="T156" i="28" s="1"/>
  <c r="H155" i="28"/>
  <c r="H154" i="28"/>
  <c r="P154" i="28" s="1"/>
  <c r="H153" i="28"/>
  <c r="P153" i="28" s="1"/>
  <c r="H152" i="28"/>
  <c r="P152" i="28" s="1"/>
  <c r="H151" i="28"/>
  <c r="P151" i="28" s="1"/>
  <c r="T151" i="28" s="1"/>
  <c r="H150" i="28"/>
  <c r="P150" i="28" s="1"/>
  <c r="H149" i="28"/>
  <c r="H148" i="28"/>
  <c r="O148" i="28" s="1"/>
  <c r="T148" i="28" s="1"/>
  <c r="H147" i="28"/>
  <c r="O147" i="28" s="1"/>
  <c r="T147" i="28" s="1"/>
  <c r="H146" i="28"/>
  <c r="O146" i="28" s="1"/>
  <c r="T146" i="28" s="1"/>
  <c r="H145" i="28"/>
  <c r="O145" i="28" s="1"/>
  <c r="T145" i="28" s="1"/>
  <c r="H113" i="28"/>
  <c r="O113" i="28" s="1"/>
  <c r="T113" i="28" s="1"/>
  <c r="H44" i="28"/>
  <c r="O44" i="28" s="1"/>
  <c r="T44" i="28" s="1"/>
  <c r="H45" i="28"/>
  <c r="O45" i="28" s="1"/>
  <c r="T45" i="28" s="1"/>
  <c r="H46" i="28"/>
  <c r="O46" i="28" s="1"/>
  <c r="T46" i="28" s="1"/>
  <c r="H47" i="28"/>
  <c r="O47" i="28" s="1"/>
  <c r="T47" i="28" s="1"/>
  <c r="H25" i="28"/>
  <c r="O25" i="28" s="1"/>
  <c r="T25" i="28" s="1"/>
  <c r="H65" i="28"/>
  <c r="O65" i="28" s="1"/>
  <c r="T65" i="28" s="1"/>
  <c r="H69" i="28"/>
  <c r="H68" i="28"/>
  <c r="H67" i="28"/>
  <c r="H66" i="28"/>
  <c r="H64" i="28"/>
  <c r="O64" i="28" s="1"/>
  <c r="H144" i="28"/>
  <c r="N144" i="28" s="1"/>
  <c r="T144" i="28" s="1"/>
  <c r="H42" i="28"/>
  <c r="N42" i="28" s="1"/>
  <c r="T42" i="28" s="1"/>
  <c r="H43" i="28"/>
  <c r="N43" i="28" s="1"/>
  <c r="T43" i="28" s="1"/>
  <c r="H19" i="28"/>
  <c r="N19" i="28" s="1"/>
  <c r="H18" i="28"/>
  <c r="N18" i="28" s="1"/>
  <c r="T18" i="28" s="1"/>
  <c r="H17" i="28"/>
  <c r="N17" i="28" s="1"/>
  <c r="T17" i="28" s="1"/>
  <c r="U24" i="31" l="1"/>
  <c r="Q82" i="28"/>
  <c r="T82" i="28" s="1"/>
  <c r="T80" i="28"/>
  <c r="T19" i="28"/>
  <c r="Q103" i="28"/>
  <c r="T103" i="28" s="1"/>
  <c r="T150" i="28"/>
  <c r="T154" i="28"/>
  <c r="P149" i="28"/>
  <c r="T149" i="28" s="1"/>
  <c r="P155" i="28"/>
  <c r="T155" i="28" s="1"/>
  <c r="T153" i="28"/>
  <c r="T152" i="28"/>
  <c r="T35" i="28"/>
  <c r="P68" i="28"/>
  <c r="T68" i="28" s="1"/>
  <c r="P69" i="28"/>
  <c r="T69" i="28" s="1"/>
  <c r="O67" i="28"/>
  <c r="T67" i="28" s="1"/>
  <c r="T64" i="28"/>
  <c r="O66" i="28"/>
  <c r="T66" i="28" s="1"/>
  <c r="H13" i="28"/>
  <c r="L13" i="28" s="1"/>
  <c r="T13" i="28" s="1"/>
  <c r="H14" i="28"/>
  <c r="L14" i="28" s="1"/>
  <c r="T14" i="28" s="1"/>
  <c r="H143" i="28"/>
  <c r="M143" i="28" s="1"/>
  <c r="T143" i="28" s="1"/>
  <c r="H142" i="28"/>
  <c r="M142" i="28" s="1"/>
  <c r="T142" i="28" s="1"/>
  <c r="H141" i="28"/>
  <c r="M141" i="28" s="1"/>
  <c r="T141" i="28" s="1"/>
  <c r="H140" i="28"/>
  <c r="M140" i="28" s="1"/>
  <c r="T140" i="28" s="1"/>
  <c r="H112" i="28"/>
  <c r="M112" i="28" s="1"/>
  <c r="T112" i="28" s="1"/>
  <c r="H111" i="28"/>
  <c r="M111" i="28" s="1"/>
  <c r="T111" i="28" s="1"/>
  <c r="H102" i="28"/>
  <c r="H101" i="28"/>
  <c r="M101" i="28" s="1"/>
  <c r="T101" i="28" s="1"/>
  <c r="H100" i="28"/>
  <c r="M100" i="28" s="1"/>
  <c r="T100" i="28" s="1"/>
  <c r="H99" i="28"/>
  <c r="H98" i="28"/>
  <c r="H97" i="28"/>
  <c r="M97" i="28" s="1"/>
  <c r="T97" i="28" s="1"/>
  <c r="H16" i="28"/>
  <c r="M16" i="28" s="1"/>
  <c r="H41" i="28"/>
  <c r="M41" i="28" s="1"/>
  <c r="T41" i="28" s="1"/>
  <c r="H40" i="28"/>
  <c r="M40" i="28" s="1"/>
  <c r="T40" i="28" s="1"/>
  <c r="H39" i="28"/>
  <c r="W83" i="21"/>
  <c r="AD83" i="21" s="1"/>
  <c r="C100" i="21"/>
  <c r="Z65" i="21"/>
  <c r="Z126" i="21"/>
  <c r="AD126" i="21" s="1"/>
  <c r="Z124" i="21"/>
  <c r="AD124" i="21" s="1"/>
  <c r="Z119" i="21"/>
  <c r="AD119" i="21" s="1"/>
  <c r="C125" i="21"/>
  <c r="C116" i="21"/>
  <c r="Z17" i="21"/>
  <c r="Z31" i="21"/>
  <c r="Z30" i="21"/>
  <c r="Y123" i="21"/>
  <c r="AD123" i="21" s="1"/>
  <c r="Y118" i="21"/>
  <c r="AD118" i="21" s="1"/>
  <c r="AA97" i="21"/>
  <c r="AA30" i="21"/>
  <c r="AA65" i="21"/>
  <c r="S80" i="21"/>
  <c r="AA16" i="21"/>
  <c r="AA17" i="21"/>
  <c r="AA23" i="21"/>
  <c r="AD23" i="21" s="1"/>
  <c r="AA12" i="21"/>
  <c r="T75" i="28" l="1"/>
  <c r="T118" i="28"/>
  <c r="M39" i="28"/>
  <c r="T39" i="28" s="1"/>
  <c r="T60" i="28" s="1"/>
  <c r="M102" i="28"/>
  <c r="T102" i="28" s="1"/>
  <c r="M99" i="28"/>
  <c r="T99" i="28" s="1"/>
  <c r="M98" i="28"/>
  <c r="T98" i="28" s="1"/>
  <c r="T107" i="28" s="1"/>
  <c r="T16" i="28"/>
  <c r="Z56" i="21"/>
  <c r="AD56" i="21" s="1"/>
  <c r="T56" i="21"/>
  <c r="D56" i="21"/>
  <c r="Z18" i="21"/>
  <c r="AD18" i="21" s="1"/>
  <c r="S18" i="21"/>
  <c r="C31" i="21"/>
  <c r="C30" i="21"/>
  <c r="Z16" i="21"/>
  <c r="Z12" i="21"/>
  <c r="Y65" i="21"/>
  <c r="Y46" i="21"/>
  <c r="Y38" i="21"/>
  <c r="AD38" i="21" s="1"/>
  <c r="Y37" i="21"/>
  <c r="AD37" i="21" s="1"/>
  <c r="S37" i="21"/>
  <c r="S38" i="21"/>
  <c r="Y31" i="21"/>
  <c r="Y30" i="21"/>
  <c r="Y24" i="21"/>
  <c r="Y16" i="21"/>
  <c r="Y17" i="21"/>
  <c r="Y20" i="21"/>
  <c r="C17" i="21"/>
  <c r="Y15" i="21"/>
  <c r="AD15" i="21" s="1"/>
  <c r="S15" i="21"/>
  <c r="C15" i="21"/>
  <c r="C138" i="21" s="1"/>
  <c r="X125" i="21"/>
  <c r="AD125" i="21" s="1"/>
  <c r="X105" i="21"/>
  <c r="X24" i="21"/>
  <c r="X97" i="21"/>
  <c r="X88" i="21"/>
  <c r="AD88" i="21" s="1"/>
  <c r="X81" i="21"/>
  <c r="AD81" i="21" s="1"/>
  <c r="X65" i="21"/>
  <c r="X62" i="21"/>
  <c r="AD62" i="21" s="1"/>
  <c r="S62" i="21"/>
  <c r="X46" i="21"/>
  <c r="T46" i="21"/>
  <c r="D46" i="21"/>
  <c r="X16" i="21"/>
  <c r="X17" i="21"/>
  <c r="X12" i="21"/>
  <c r="W24" i="21"/>
  <c r="U131" i="21"/>
  <c r="AD131" i="21" s="1"/>
  <c r="W121" i="21"/>
  <c r="AD121" i="21" s="1"/>
  <c r="AD117" i="21"/>
  <c r="W105" i="21"/>
  <c r="S105" i="21"/>
  <c r="W99" i="21"/>
  <c r="AD99" i="21" s="1"/>
  <c r="W98" i="21"/>
  <c r="AD98" i="21" s="1"/>
  <c r="S98" i="21"/>
  <c r="S99" i="21"/>
  <c r="W97" i="21"/>
  <c r="W84" i="21"/>
  <c r="AD84" i="21" s="1"/>
  <c r="S84" i="21"/>
  <c r="S79" i="21"/>
  <c r="W86" i="21"/>
  <c r="AD86" i="21" s="1"/>
  <c r="W45" i="21"/>
  <c r="AD45" i="21" s="1"/>
  <c r="T45" i="21"/>
  <c r="D45" i="21"/>
  <c r="D48" i="21"/>
  <c r="W16" i="21"/>
  <c r="W17" i="21"/>
  <c r="AD22" i="21"/>
  <c r="W31" i="21"/>
  <c r="W34" i="21"/>
  <c r="AD34" i="21" s="1"/>
  <c r="W12" i="21"/>
  <c r="W36" i="21"/>
  <c r="AD36" i="21" s="1"/>
  <c r="S36" i="21"/>
  <c r="S34" i="21"/>
  <c r="C29" i="21"/>
  <c r="U104" i="21"/>
  <c r="U92" i="21"/>
  <c r="AD92" i="21" s="1"/>
  <c r="U47" i="21"/>
  <c r="AD47" i="21" s="1"/>
  <c r="V116" i="21"/>
  <c r="AD116" i="21" s="1"/>
  <c r="V104" i="21"/>
  <c r="U97" i="21"/>
  <c r="V65" i="21"/>
  <c r="U65" i="21"/>
  <c r="T55" i="21"/>
  <c r="T47" i="21"/>
  <c r="T48" i="21"/>
  <c r="V55" i="21"/>
  <c r="AD55" i="21" s="1"/>
  <c r="V48" i="21"/>
  <c r="AD48" i="21" s="1"/>
  <c r="V44" i="21"/>
  <c r="AD44" i="21" s="1"/>
  <c r="U49" i="21"/>
  <c r="AD49" i="21" s="1"/>
  <c r="U50" i="21"/>
  <c r="AD50" i="21" s="1"/>
  <c r="U43" i="21"/>
  <c r="AD43" i="21" s="1"/>
  <c r="T44" i="21"/>
  <c r="V16" i="21"/>
  <c r="V17" i="21"/>
  <c r="V20" i="21"/>
  <c r="V24" i="21"/>
  <c r="V30" i="21"/>
  <c r="V31" i="21"/>
  <c r="V12" i="21"/>
  <c r="U12" i="21"/>
  <c r="S78" i="21"/>
  <c r="S81" i="21"/>
  <c r="S83" i="21"/>
  <c r="S108" i="21"/>
  <c r="S116" i="21"/>
  <c r="T117" i="21"/>
  <c r="S118" i="21"/>
  <c r="S119" i="21"/>
  <c r="S121" i="21"/>
  <c r="T122" i="21"/>
  <c r="T123" i="21"/>
  <c r="S124" i="21"/>
  <c r="S125" i="21"/>
  <c r="T126" i="21"/>
  <c r="D55" i="21"/>
  <c r="R57" i="21"/>
  <c r="D44" i="21"/>
  <c r="T57" i="21" l="1"/>
  <c r="T138" i="21"/>
  <c r="AD17" i="21"/>
  <c r="AD65" i="21"/>
  <c r="AD30" i="21"/>
  <c r="AD20" i="21"/>
  <c r="AD31" i="21"/>
  <c r="AD104" i="21"/>
  <c r="AD46" i="21"/>
  <c r="AD97" i="21"/>
  <c r="AD16" i="21"/>
  <c r="AD12" i="21"/>
  <c r="AD24" i="21"/>
  <c r="AD105" i="21"/>
  <c r="D57" i="21"/>
  <c r="C39" i="21"/>
  <c r="T83" i="28"/>
  <c r="T116" i="21"/>
  <c r="T154" i="21" s="1"/>
  <c r="T125" i="21"/>
  <c r="T148" i="21" s="1"/>
  <c r="T121" i="21"/>
  <c r="T146" i="21" s="1"/>
  <c r="S126" i="21"/>
  <c r="S122" i="21"/>
  <c r="S117" i="21"/>
  <c r="T124" i="21"/>
  <c r="T119" i="21"/>
  <c r="S123" i="21"/>
  <c r="T118" i="21"/>
  <c r="T152" i="21" s="1"/>
  <c r="C122" i="21"/>
  <c r="C127" i="21" s="1"/>
  <c r="I170" i="13"/>
  <c r="I169" i="13"/>
  <c r="I168" i="13"/>
  <c r="I167" i="13"/>
  <c r="I166" i="13"/>
  <c r="I165" i="13"/>
  <c r="I163" i="13"/>
  <c r="I162" i="13"/>
  <c r="I161" i="13"/>
  <c r="I160" i="13"/>
  <c r="I159" i="13"/>
  <c r="I158" i="13"/>
  <c r="I156" i="13"/>
  <c r="I155" i="13"/>
  <c r="I154" i="13"/>
  <c r="I153" i="13"/>
  <c r="I152" i="13"/>
  <c r="I151" i="13"/>
  <c r="I148" i="13"/>
  <c r="I147" i="13"/>
  <c r="I145" i="13"/>
  <c r="I144" i="13"/>
  <c r="J164" i="13"/>
  <c r="J157" i="13"/>
  <c r="J150" i="13"/>
  <c r="J149" i="13"/>
  <c r="Q169" i="13"/>
  <c r="P169" i="13"/>
  <c r="Q168" i="13"/>
  <c r="P168" i="13"/>
  <c r="Q166" i="13"/>
  <c r="P166" i="13"/>
  <c r="Q165" i="13"/>
  <c r="P165" i="13"/>
  <c r="Q164" i="13"/>
  <c r="P164" i="13"/>
  <c r="Q158" i="13"/>
  <c r="P158" i="13"/>
  <c r="Q157" i="13"/>
  <c r="P157" i="13"/>
  <c r="Q156" i="13"/>
  <c r="P156" i="13"/>
  <c r="Q153" i="13"/>
  <c r="P153" i="13"/>
  <c r="Q152" i="13"/>
  <c r="P152" i="13"/>
  <c r="Q150" i="13"/>
  <c r="P150" i="13"/>
  <c r="Q149" i="13"/>
  <c r="P149" i="13"/>
  <c r="Q148" i="13"/>
  <c r="P148" i="13"/>
  <c r="Q147" i="13"/>
  <c r="P147" i="13"/>
  <c r="P88" i="13"/>
  <c r="Q88" i="13"/>
  <c r="P86" i="13"/>
  <c r="Q86" i="13"/>
  <c r="Q83" i="13"/>
  <c r="P83" i="13"/>
  <c r="Q82" i="13"/>
  <c r="P82" i="13"/>
  <c r="I88" i="13"/>
  <c r="J86" i="13"/>
  <c r="Q87" i="13"/>
  <c r="P87" i="13"/>
  <c r="Q85" i="13"/>
  <c r="P85" i="13"/>
  <c r="Q84" i="13"/>
  <c r="P84" i="13"/>
  <c r="I85" i="13"/>
  <c r="J84" i="13"/>
  <c r="I83" i="13"/>
  <c r="I87" i="13"/>
  <c r="I82" i="13"/>
  <c r="I81" i="13"/>
  <c r="Q70" i="13"/>
  <c r="P70" i="13"/>
  <c r="Q69" i="13"/>
  <c r="P69" i="13"/>
  <c r="Q67" i="13"/>
  <c r="P67" i="13"/>
  <c r="Q66" i="13"/>
  <c r="P66" i="13"/>
  <c r="Q65" i="13"/>
  <c r="P65" i="13"/>
  <c r="Q64" i="13"/>
  <c r="P64" i="13"/>
  <c r="Q63" i="13"/>
  <c r="P63" i="13"/>
  <c r="Q62" i="13"/>
  <c r="P62" i="13"/>
  <c r="Q61" i="13"/>
  <c r="P61" i="13"/>
  <c r="Q57" i="13"/>
  <c r="P57" i="13"/>
  <c r="Q56" i="13"/>
  <c r="P56" i="13"/>
  <c r="J70" i="13"/>
  <c r="I69" i="13"/>
  <c r="I68" i="13"/>
  <c r="J67" i="13"/>
  <c r="I66" i="13"/>
  <c r="I65" i="13"/>
  <c r="I64" i="13"/>
  <c r="I63" i="13"/>
  <c r="I62" i="13"/>
  <c r="I61" i="13"/>
  <c r="L60" i="13"/>
  <c r="I59" i="13"/>
  <c r="I58" i="13"/>
  <c r="I57" i="13"/>
  <c r="J56" i="13"/>
  <c r="Q55" i="13"/>
  <c r="P55" i="13"/>
  <c r="Q53" i="13"/>
  <c r="P53" i="13"/>
  <c r="I55" i="13"/>
  <c r="J53" i="13"/>
  <c r="K52" i="13"/>
  <c r="Q51" i="13"/>
  <c r="P51" i="13"/>
  <c r="I51" i="13"/>
  <c r="K49" i="13"/>
  <c r="I48" i="13"/>
  <c r="Q239" i="13"/>
  <c r="Q238" i="13"/>
  <c r="Q237" i="13"/>
  <c r="Q234" i="13"/>
  <c r="P234" i="13"/>
  <c r="P239" i="13"/>
  <c r="P238" i="13"/>
  <c r="P237" i="13"/>
  <c r="L241" i="13"/>
  <c r="I243" i="13"/>
  <c r="I242" i="13"/>
  <c r="I239" i="13"/>
  <c r="I238" i="13"/>
  <c r="I237" i="13"/>
  <c r="K236" i="13"/>
  <c r="J234" i="13"/>
  <c r="L233" i="13"/>
  <c r="I232" i="13"/>
  <c r="L230" i="13"/>
  <c r="I229" i="13"/>
  <c r="I228" i="13"/>
  <c r="L226" i="13"/>
  <c r="I240" i="13"/>
  <c r="I235" i="13"/>
  <c r="I225" i="13"/>
  <c r="C319" i="12"/>
  <c r="L319" i="12" s="1"/>
  <c r="C321" i="12"/>
  <c r="L321" i="12" s="1"/>
  <c r="N310" i="13"/>
  <c r="N311" i="13" s="1"/>
  <c r="D310" i="13"/>
  <c r="D308" i="13"/>
  <c r="D243" i="13"/>
  <c r="Q243" i="13" s="1"/>
  <c r="D242" i="13"/>
  <c r="Q242" i="13" s="1"/>
  <c r="D240" i="13"/>
  <c r="Q240" i="13" s="1"/>
  <c r="D235" i="13"/>
  <c r="Q235" i="13" s="1"/>
  <c r="D232" i="13"/>
  <c r="Q232" i="13" s="1"/>
  <c r="D231" i="13"/>
  <c r="D229" i="13"/>
  <c r="Q229" i="13" s="1"/>
  <c r="D228" i="13"/>
  <c r="Q228" i="13" s="1"/>
  <c r="P225" i="13"/>
  <c r="D170" i="13"/>
  <c r="P170" i="13" s="1"/>
  <c r="D167" i="13"/>
  <c r="Q167" i="13" s="1"/>
  <c r="D163" i="13"/>
  <c r="Q163" i="13" s="1"/>
  <c r="D162" i="13"/>
  <c r="P162" i="13" s="1"/>
  <c r="D161" i="13"/>
  <c r="Q161" i="13" s="1"/>
  <c r="D160" i="13"/>
  <c r="P160" i="13" s="1"/>
  <c r="D159" i="13"/>
  <c r="Q159" i="13" s="1"/>
  <c r="D155" i="13"/>
  <c r="Q155" i="13" s="1"/>
  <c r="D154" i="13"/>
  <c r="P154" i="13" s="1"/>
  <c r="D151" i="13"/>
  <c r="Q151" i="13" s="1"/>
  <c r="D145" i="13"/>
  <c r="Q145" i="13" s="1"/>
  <c r="D144" i="13"/>
  <c r="P144" i="13" s="1"/>
  <c r="D81" i="13"/>
  <c r="Q81" i="13" s="1"/>
  <c r="D68" i="13"/>
  <c r="Q68" i="13" s="1"/>
  <c r="D59" i="13"/>
  <c r="Q59" i="13" s="1"/>
  <c r="D58" i="13"/>
  <c r="Q58" i="13" s="1"/>
  <c r="Q48" i="13"/>
  <c r="D101" i="13"/>
  <c r="D104" i="13"/>
  <c r="D107" i="13"/>
  <c r="V114" i="11"/>
  <c r="U222" i="11"/>
  <c r="U223" i="11"/>
  <c r="U224" i="11"/>
  <c r="V220" i="11"/>
  <c r="U141" i="11"/>
  <c r="U150" i="11"/>
  <c r="V144" i="11"/>
  <c r="V143" i="11"/>
  <c r="U160" i="11"/>
  <c r="U159" i="11"/>
  <c r="U146" i="11"/>
  <c r="V84" i="11"/>
  <c r="V76" i="11"/>
  <c r="V68" i="11"/>
  <c r="U86" i="11"/>
  <c r="U85" i="11"/>
  <c r="U83" i="11"/>
  <c r="U81" i="11"/>
  <c r="U80" i="11"/>
  <c r="U67" i="11"/>
  <c r="U64" i="11"/>
  <c r="U63" i="11"/>
  <c r="U62" i="11"/>
  <c r="U61" i="11"/>
  <c r="U60" i="11"/>
  <c r="U59" i="11"/>
  <c r="U56" i="11"/>
  <c r="U54" i="11"/>
  <c r="H287" i="11"/>
  <c r="P287" i="11" s="1"/>
  <c r="H213" i="11"/>
  <c r="P213" i="11" s="1"/>
  <c r="H140" i="11"/>
  <c r="P140" i="11" s="1"/>
  <c r="G50" i="11"/>
  <c r="H50" i="11" s="1"/>
  <c r="U214" i="11"/>
  <c r="U51" i="11"/>
  <c r="H294" i="11"/>
  <c r="S294" i="11" s="1"/>
  <c r="H293" i="11"/>
  <c r="S293" i="11" s="1"/>
  <c r="H292" i="11"/>
  <c r="P292" i="11" s="1"/>
  <c r="H291" i="11"/>
  <c r="P291" i="11" s="1"/>
  <c r="H290" i="11"/>
  <c r="P290" i="11" s="1"/>
  <c r="H289" i="11"/>
  <c r="P289" i="11" s="1"/>
  <c r="H288" i="11"/>
  <c r="P288" i="11" s="1"/>
  <c r="H227" i="11"/>
  <c r="S227" i="11" s="1"/>
  <c r="H226" i="11"/>
  <c r="S226" i="11" s="1"/>
  <c r="H225" i="11"/>
  <c r="S225" i="11" s="1"/>
  <c r="H224" i="11"/>
  <c r="S224" i="11" s="1"/>
  <c r="H223" i="11"/>
  <c r="S223" i="11" s="1"/>
  <c r="H222" i="11"/>
  <c r="S222" i="11" s="1"/>
  <c r="H221" i="11"/>
  <c r="S221" i="11" s="1"/>
  <c r="H220" i="11"/>
  <c r="R220" i="11" s="1"/>
  <c r="H219" i="11"/>
  <c r="S219" i="11" s="1"/>
  <c r="H218" i="11"/>
  <c r="S218" i="11" s="1"/>
  <c r="H217" i="11"/>
  <c r="S217" i="11" s="1"/>
  <c r="H216" i="11"/>
  <c r="S216" i="11" s="1"/>
  <c r="H214" i="11"/>
  <c r="S214" i="11" s="1"/>
  <c r="H212" i="11"/>
  <c r="P212" i="11" s="1"/>
  <c r="H165" i="11"/>
  <c r="P165" i="11" s="1"/>
  <c r="H164" i="11"/>
  <c r="S164" i="11" s="1"/>
  <c r="H163" i="11"/>
  <c r="H162" i="11"/>
  <c r="H161" i="11"/>
  <c r="S161" i="11" s="1"/>
  <c r="H160" i="11"/>
  <c r="S160" i="11" s="1"/>
  <c r="H159" i="11"/>
  <c r="S159" i="11" s="1"/>
  <c r="H158" i="11"/>
  <c r="Q158" i="11" s="1"/>
  <c r="H157" i="11"/>
  <c r="S157" i="11" s="1"/>
  <c r="H156" i="11"/>
  <c r="H155" i="11"/>
  <c r="H154" i="11"/>
  <c r="H153" i="11"/>
  <c r="H152" i="11"/>
  <c r="H151" i="11"/>
  <c r="Q151" i="11" s="1"/>
  <c r="H150" i="11"/>
  <c r="S150" i="11" s="1"/>
  <c r="H149" i="11"/>
  <c r="H148" i="11"/>
  <c r="H147" i="11"/>
  <c r="H146" i="11"/>
  <c r="S146" i="11" s="1"/>
  <c r="H145" i="11"/>
  <c r="H144" i="11"/>
  <c r="R144" i="11" s="1"/>
  <c r="H143" i="11"/>
  <c r="R143" i="11" s="1"/>
  <c r="H142" i="11"/>
  <c r="H141" i="11"/>
  <c r="S141" i="11" s="1"/>
  <c r="H139" i="11"/>
  <c r="P139" i="11" s="1"/>
  <c r="H138" i="11"/>
  <c r="H137" i="11"/>
  <c r="S137" i="11" s="1"/>
  <c r="G87" i="11"/>
  <c r="H87" i="11" s="1"/>
  <c r="G49" i="11"/>
  <c r="H49" i="11" s="1"/>
  <c r="S49" i="11" s="1"/>
  <c r="G51" i="11"/>
  <c r="H51" i="11" s="1"/>
  <c r="S51" i="11" s="1"/>
  <c r="G52" i="11"/>
  <c r="H52" i="11" s="1"/>
  <c r="Q52" i="11" s="1"/>
  <c r="G53" i="11"/>
  <c r="H53" i="11" s="1"/>
  <c r="P53" i="11" s="1"/>
  <c r="G54" i="11"/>
  <c r="H54" i="11" s="1"/>
  <c r="S54" i="11" s="1"/>
  <c r="G55" i="11"/>
  <c r="H55" i="11" s="1"/>
  <c r="Q55" i="11" s="1"/>
  <c r="G56" i="11"/>
  <c r="H56" i="11" s="1"/>
  <c r="S56" i="11" s="1"/>
  <c r="G57" i="11"/>
  <c r="H57" i="11" s="1"/>
  <c r="S57" i="11" s="1"/>
  <c r="G58" i="11"/>
  <c r="H58" i="11" s="1"/>
  <c r="S58" i="11" s="1"/>
  <c r="G59" i="11"/>
  <c r="H59" i="11" s="1"/>
  <c r="S59" i="11" s="1"/>
  <c r="G60" i="11"/>
  <c r="H60" i="11" s="1"/>
  <c r="S60" i="11" s="1"/>
  <c r="G61" i="11"/>
  <c r="H61" i="11" s="1"/>
  <c r="S61" i="11" s="1"/>
  <c r="G62" i="11"/>
  <c r="H62" i="11" s="1"/>
  <c r="S62" i="11" s="1"/>
  <c r="G63" i="11"/>
  <c r="H63" i="11" s="1"/>
  <c r="S63" i="11" s="1"/>
  <c r="G64" i="11"/>
  <c r="H64" i="11" s="1"/>
  <c r="S64" i="11" s="1"/>
  <c r="G65" i="11"/>
  <c r="H65" i="11" s="1"/>
  <c r="Q65" i="11" s="1"/>
  <c r="G66" i="11"/>
  <c r="H66" i="11" s="1"/>
  <c r="S66" i="11" s="1"/>
  <c r="G67" i="11"/>
  <c r="H67" i="11" s="1"/>
  <c r="S67" i="11" s="1"/>
  <c r="G68" i="11"/>
  <c r="H68" i="11" s="1"/>
  <c r="R68" i="11" s="1"/>
  <c r="G69" i="11"/>
  <c r="H69" i="11" s="1"/>
  <c r="P69" i="11" s="1"/>
  <c r="G70" i="11"/>
  <c r="H70" i="11" s="1"/>
  <c r="Q70" i="11" s="1"/>
  <c r="G71" i="11"/>
  <c r="H71" i="11" s="1"/>
  <c r="Q71" i="11" s="1"/>
  <c r="G72" i="11"/>
  <c r="H72" i="11" s="1"/>
  <c r="Q72" i="11" s="1"/>
  <c r="G73" i="11"/>
  <c r="H73" i="11" s="1"/>
  <c r="Q73" i="11" s="1"/>
  <c r="G74" i="11"/>
  <c r="H74" i="11" s="1"/>
  <c r="Q74" i="11" s="1"/>
  <c r="G75" i="11"/>
  <c r="H75" i="11" s="1"/>
  <c r="Q75" i="11" s="1"/>
  <c r="G76" i="11"/>
  <c r="H76" i="11" s="1"/>
  <c r="R76" i="11" s="1"/>
  <c r="G77" i="11"/>
  <c r="H77" i="11" s="1"/>
  <c r="Q77" i="11" s="1"/>
  <c r="G78" i="11"/>
  <c r="H78" i="11" s="1"/>
  <c r="Q78" i="11" s="1"/>
  <c r="G79" i="11"/>
  <c r="H79" i="11" s="1"/>
  <c r="S79" i="11" s="1"/>
  <c r="G80" i="11"/>
  <c r="H80" i="11" s="1"/>
  <c r="S80" i="11" s="1"/>
  <c r="G81" i="11"/>
  <c r="H81" i="11" s="1"/>
  <c r="S81" i="11" s="1"/>
  <c r="G82" i="11"/>
  <c r="H82" i="11" s="1"/>
  <c r="Q82" i="11" s="1"/>
  <c r="G83" i="11"/>
  <c r="H83" i="11" s="1"/>
  <c r="S83" i="11" s="1"/>
  <c r="G84" i="11"/>
  <c r="H84" i="11" s="1"/>
  <c r="R84" i="11" s="1"/>
  <c r="G85" i="11"/>
  <c r="H85" i="11" s="1"/>
  <c r="S85" i="11" s="1"/>
  <c r="G86" i="11"/>
  <c r="H86" i="11" s="1"/>
  <c r="S86" i="11" s="1"/>
  <c r="D294" i="11"/>
  <c r="U294" i="11" s="1"/>
  <c r="D293" i="11"/>
  <c r="U293" i="11" s="1"/>
  <c r="D290" i="11"/>
  <c r="D289" i="11"/>
  <c r="D227" i="11"/>
  <c r="U227" i="11" s="1"/>
  <c r="D226" i="11"/>
  <c r="U226" i="11" s="1"/>
  <c r="D225" i="11"/>
  <c r="U225" i="11" s="1"/>
  <c r="D221" i="11"/>
  <c r="U221" i="11" s="1"/>
  <c r="D219" i="11"/>
  <c r="U219" i="11" s="1"/>
  <c r="D218" i="11"/>
  <c r="U218" i="11" s="1"/>
  <c r="D217" i="11"/>
  <c r="U217" i="11" s="1"/>
  <c r="D216" i="11"/>
  <c r="U216" i="11" s="1"/>
  <c r="D164" i="11"/>
  <c r="U164" i="11" s="1"/>
  <c r="D161" i="11"/>
  <c r="U161" i="11" s="1"/>
  <c r="D157" i="11"/>
  <c r="U157" i="11" s="1"/>
  <c r="D156" i="11"/>
  <c r="D155" i="11"/>
  <c r="D154" i="11"/>
  <c r="D153" i="11"/>
  <c r="D149" i="11"/>
  <c r="D148" i="11"/>
  <c r="D145" i="11"/>
  <c r="D138" i="11"/>
  <c r="D137" i="11"/>
  <c r="U137" i="11" s="1"/>
  <c r="D79" i="11"/>
  <c r="U79" i="11" s="1"/>
  <c r="D77" i="11"/>
  <c r="D66" i="11"/>
  <c r="U66" i="11" s="1"/>
  <c r="D58" i="11"/>
  <c r="U58" i="11" s="1"/>
  <c r="D57" i="11"/>
  <c r="U57" i="11" s="1"/>
  <c r="D49" i="11"/>
  <c r="U49" i="11" s="1"/>
  <c r="H286" i="11"/>
  <c r="P286" i="11" s="1"/>
  <c r="D446" i="12"/>
  <c r="D442" i="12"/>
  <c r="D443" i="12"/>
  <c r="C443" i="12" s="1"/>
  <c r="H443" i="12" s="1"/>
  <c r="I443" i="12" s="1"/>
  <c r="M443" i="12" s="1"/>
  <c r="N344" i="12"/>
  <c r="O344" i="12"/>
  <c r="N448" i="12"/>
  <c r="O448" i="12"/>
  <c r="N167" i="11" l="1"/>
  <c r="N529" i="11" s="1"/>
  <c r="T144" i="21"/>
  <c r="P167" i="11"/>
  <c r="Q144" i="13"/>
  <c r="Q160" i="13"/>
  <c r="Q170" i="13"/>
  <c r="Q154" i="13"/>
  <c r="Q162" i="13"/>
  <c r="Q225" i="13"/>
  <c r="P68" i="13"/>
  <c r="P81" i="13"/>
  <c r="P145" i="13"/>
  <c r="P151" i="13"/>
  <c r="P155" i="13"/>
  <c r="P159" i="13"/>
  <c r="P161" i="13"/>
  <c r="P163" i="13"/>
  <c r="P167" i="13"/>
  <c r="P235" i="13"/>
  <c r="P240" i="13"/>
  <c r="P48" i="13"/>
  <c r="P59" i="13"/>
  <c r="P228" i="13"/>
  <c r="P242" i="13"/>
  <c r="P229" i="13"/>
  <c r="P243" i="13"/>
  <c r="P58" i="13"/>
  <c r="P232" i="13"/>
  <c r="D447" i="12"/>
  <c r="C447" i="12" s="1"/>
  <c r="H447" i="12" s="1"/>
  <c r="I447" i="12" s="1"/>
  <c r="L447" i="12" s="1"/>
  <c r="C440" i="12"/>
  <c r="H440" i="12" s="1"/>
  <c r="I440" i="12" s="1"/>
  <c r="M440" i="12" s="1"/>
  <c r="C441" i="12"/>
  <c r="C442" i="12"/>
  <c r="H442" i="12" s="1"/>
  <c r="I442" i="12" s="1"/>
  <c r="M442" i="12" s="1"/>
  <c r="C444" i="12"/>
  <c r="H444" i="12" s="1"/>
  <c r="I444" i="12" s="1"/>
  <c r="M444" i="12" s="1"/>
  <c r="C445" i="12"/>
  <c r="H445" i="12" s="1"/>
  <c r="I445" i="12" s="1"/>
  <c r="M445" i="12" s="1"/>
  <c r="C446" i="12"/>
  <c r="H446" i="12" s="1"/>
  <c r="I446" i="12" s="1"/>
  <c r="L446" i="12" s="1"/>
  <c r="C340" i="12"/>
  <c r="L340" i="12" s="1"/>
  <c r="D343" i="12"/>
  <c r="C343" i="12" s="1"/>
  <c r="L343" i="12" s="1"/>
  <c r="D342" i="12"/>
  <c r="C342" i="12" s="1"/>
  <c r="L342" i="12" s="1"/>
  <c r="C331" i="12"/>
  <c r="L331" i="12" s="1"/>
  <c r="C327" i="12"/>
  <c r="L327" i="12" s="1"/>
  <c r="D326" i="12"/>
  <c r="C326" i="12" s="1"/>
  <c r="L326" i="12" s="1"/>
  <c r="C324" i="12"/>
  <c r="L324" i="12" s="1"/>
  <c r="C323" i="12"/>
  <c r="L323" i="12" s="1"/>
  <c r="C318" i="12"/>
  <c r="H318" i="12" s="1"/>
  <c r="I318" i="12" s="1"/>
  <c r="M318" i="12" s="1"/>
  <c r="C329" i="12"/>
  <c r="P329" i="12" s="1"/>
  <c r="C333" i="12"/>
  <c r="L333" i="12" s="1"/>
  <c r="C334" i="12"/>
  <c r="L334" i="12" s="1"/>
  <c r="C337" i="12"/>
  <c r="L337" i="12" s="1"/>
  <c r="C244" i="12"/>
  <c r="L244" i="12" s="1"/>
  <c r="D240" i="12"/>
  <c r="C240" i="12" s="1"/>
  <c r="L240" i="12" s="1"/>
  <c r="C233" i="12"/>
  <c r="L233" i="12" s="1"/>
  <c r="D232" i="12"/>
  <c r="C232" i="12" s="1"/>
  <c r="L232" i="12" s="1"/>
  <c r="C230" i="12"/>
  <c r="L230" i="12" s="1"/>
  <c r="C228" i="12"/>
  <c r="L228" i="12" s="1"/>
  <c r="C226" i="12"/>
  <c r="L226" i="12" s="1"/>
  <c r="C221" i="12"/>
  <c r="L221" i="12" s="1"/>
  <c r="C220" i="12"/>
  <c r="L220" i="12" s="1"/>
  <c r="C207" i="12"/>
  <c r="L207" i="12" s="1"/>
  <c r="C205" i="12"/>
  <c r="L205" i="12" s="1"/>
  <c r="C208" i="12"/>
  <c r="M208" i="12" s="1"/>
  <c r="C209" i="12"/>
  <c r="L209" i="12" s="1"/>
  <c r="C211" i="12"/>
  <c r="L211" i="12" s="1"/>
  <c r="C213" i="12"/>
  <c r="P213" i="12" s="1"/>
  <c r="C215" i="12"/>
  <c r="P215" i="12" s="1"/>
  <c r="C217" i="12"/>
  <c r="L217" i="12" s="1"/>
  <c r="C218" i="12"/>
  <c r="L218" i="12" s="1"/>
  <c r="C219" i="12"/>
  <c r="L219" i="12" s="1"/>
  <c r="C222" i="12"/>
  <c r="L222" i="12" s="1"/>
  <c r="C223" i="12"/>
  <c r="Q223" i="12" s="1"/>
  <c r="C224" i="12"/>
  <c r="L224" i="12" s="1"/>
  <c r="C235" i="12"/>
  <c r="Q235" i="12" s="1"/>
  <c r="C236" i="12"/>
  <c r="L236" i="12" s="1"/>
  <c r="C238" i="12"/>
  <c r="L238" i="12" s="1"/>
  <c r="C241" i="12"/>
  <c r="L241" i="12" s="1"/>
  <c r="C242" i="12"/>
  <c r="L242" i="12" s="1"/>
  <c r="C245" i="12"/>
  <c r="M245" i="12" s="1"/>
  <c r="M249" i="12" l="1"/>
  <c r="H441" i="12"/>
  <c r="C125" i="12"/>
  <c r="H125" i="12" s="1"/>
  <c r="C113" i="12"/>
  <c r="L113" i="12" s="1"/>
  <c r="D110" i="12"/>
  <c r="C110" i="12" s="1"/>
  <c r="Q110" i="12" s="1"/>
  <c r="C105" i="12"/>
  <c r="Q105" i="12" s="1"/>
  <c r="C94" i="12"/>
  <c r="L94" i="12" s="1"/>
  <c r="C83" i="12"/>
  <c r="L83" i="12" s="1"/>
  <c r="D82" i="12"/>
  <c r="C82" i="12" s="1"/>
  <c r="L82" i="12" s="1"/>
  <c r="C71" i="12"/>
  <c r="L71" i="12" s="1"/>
  <c r="C69" i="12"/>
  <c r="L69" i="12" s="1"/>
  <c r="C73" i="12"/>
  <c r="L73" i="12" s="1"/>
  <c r="C74" i="12"/>
  <c r="Q74" i="12" s="1"/>
  <c r="C75" i="12"/>
  <c r="H75" i="12" s="1"/>
  <c r="I75" i="12" s="1"/>
  <c r="C76" i="12"/>
  <c r="L76" i="12" s="1"/>
  <c r="C78" i="12"/>
  <c r="Q78" i="12" s="1"/>
  <c r="C80" i="12"/>
  <c r="L80" i="12" s="1"/>
  <c r="C84" i="12"/>
  <c r="L84" i="12" s="1"/>
  <c r="C85" i="12"/>
  <c r="L85" i="12" s="1"/>
  <c r="C87" i="12"/>
  <c r="L87" i="12" s="1"/>
  <c r="C89" i="12"/>
  <c r="L89" i="12" s="1"/>
  <c r="C91" i="12"/>
  <c r="L91" i="12" s="1"/>
  <c r="C92" i="12"/>
  <c r="L92" i="12" s="1"/>
  <c r="C93" i="12"/>
  <c r="Q93" i="12" s="1"/>
  <c r="C95" i="12"/>
  <c r="L95" i="12" s="1"/>
  <c r="C97" i="12"/>
  <c r="P97" i="12" s="1"/>
  <c r="C99" i="12"/>
  <c r="M99" i="12" s="1"/>
  <c r="C101" i="12"/>
  <c r="Q101" i="12" s="1"/>
  <c r="C102" i="12"/>
  <c r="Q102" i="12" s="1"/>
  <c r="C104" i="12"/>
  <c r="Q104" i="12" s="1"/>
  <c r="C107" i="12"/>
  <c r="Q107" i="12" s="1"/>
  <c r="C108" i="12"/>
  <c r="Q108" i="12" s="1"/>
  <c r="C109" i="12"/>
  <c r="P109" i="12" s="1"/>
  <c r="C111" i="12"/>
  <c r="Q111" i="12" s="1"/>
  <c r="C115" i="12"/>
  <c r="L115" i="12" s="1"/>
  <c r="C117" i="12"/>
  <c r="L117" i="12" s="1"/>
  <c r="C118" i="12"/>
  <c r="Q118" i="12" s="1"/>
  <c r="C119" i="12"/>
  <c r="L119" i="12" s="1"/>
  <c r="C120" i="12"/>
  <c r="H120" i="12" s="1"/>
  <c r="J120" i="12" s="1"/>
  <c r="P120" i="12" s="1"/>
  <c r="C121" i="12"/>
  <c r="L121" i="12" s="1"/>
  <c r="C123" i="12"/>
  <c r="L123" i="12" s="1"/>
  <c r="E32" i="33"/>
  <c r="J32" i="33" s="1"/>
  <c r="L32" i="33" s="1"/>
  <c r="E31" i="33"/>
  <c r="J31" i="33" s="1"/>
  <c r="L31" i="33" s="1"/>
  <c r="E30" i="33"/>
  <c r="J30" i="33" s="1"/>
  <c r="L30" i="33" s="1"/>
  <c r="E29" i="33"/>
  <c r="J29" i="33" s="1"/>
  <c r="L29" i="33" s="1"/>
  <c r="L54" i="33"/>
  <c r="L53" i="33"/>
  <c r="L48" i="33"/>
  <c r="L47" i="33"/>
  <c r="L55" i="33" l="1"/>
  <c r="M75" i="12"/>
  <c r="I126" i="12"/>
  <c r="I441" i="12"/>
  <c r="L49" i="33"/>
  <c r="E23" i="33"/>
  <c r="J23" i="33" s="1"/>
  <c r="L23" i="33" s="1"/>
  <c r="E15" i="33"/>
  <c r="J15" i="33" s="1"/>
  <c r="L15" i="33" s="1"/>
  <c r="E14" i="33"/>
  <c r="J14" i="33" s="1"/>
  <c r="L14" i="33" s="1"/>
  <c r="E24" i="33"/>
  <c r="J24" i="33" s="1"/>
  <c r="L24" i="33" s="1"/>
  <c r="E22" i="33"/>
  <c r="J22" i="33" s="1"/>
  <c r="L22" i="33" s="1"/>
  <c r="E21" i="33"/>
  <c r="J21" i="33" s="1"/>
  <c r="L21" i="33" s="1"/>
  <c r="L42" i="33"/>
  <c r="L41" i="33"/>
  <c r="E16" i="33"/>
  <c r="J16" i="33" s="1"/>
  <c r="L16" i="33" s="1"/>
  <c r="E13" i="33"/>
  <c r="J13" i="33" s="1"/>
  <c r="L13" i="33" s="1"/>
  <c r="E12" i="33"/>
  <c r="J12" i="33" s="1"/>
  <c r="L12" i="33" s="1"/>
  <c r="M441" i="12" l="1"/>
  <c r="L43" i="33"/>
  <c r="L57" i="33" s="1"/>
  <c r="L33" i="33"/>
  <c r="L25" i="33"/>
  <c r="L17" i="33"/>
  <c r="L35" i="33" l="1"/>
  <c r="Q104" i="13"/>
  <c r="P104" i="13"/>
  <c r="I104" i="13"/>
  <c r="K105" i="13"/>
  <c r="P205" i="13"/>
  <c r="P203" i="13"/>
  <c r="P204" i="13"/>
  <c r="P200" i="13"/>
  <c r="L487" i="13"/>
  <c r="L478" i="13"/>
  <c r="K505" i="13"/>
  <c r="L494" i="13"/>
  <c r="K473" i="13"/>
  <c r="L469" i="13"/>
  <c r="L466" i="13"/>
  <c r="L515" i="13" s="1"/>
  <c r="J508" i="13"/>
  <c r="J507" i="13"/>
  <c r="J506" i="13"/>
  <c r="J502" i="13"/>
  <c r="J501" i="13"/>
  <c r="J500" i="13"/>
  <c r="J499" i="13"/>
  <c r="J498" i="13"/>
  <c r="J497" i="13"/>
  <c r="J492" i="13"/>
  <c r="J491" i="13"/>
  <c r="J484" i="13"/>
  <c r="J515" i="13" s="1"/>
  <c r="I468" i="13"/>
  <c r="I471" i="13"/>
  <c r="I472" i="13"/>
  <c r="I475" i="13"/>
  <c r="I476" i="13"/>
  <c r="I477" i="13"/>
  <c r="I479" i="13"/>
  <c r="I480" i="13"/>
  <c r="I481" i="13"/>
  <c r="I482" i="13"/>
  <c r="I483" i="13"/>
  <c r="I485" i="13"/>
  <c r="I486" i="13"/>
  <c r="I488" i="13"/>
  <c r="I489" i="13"/>
  <c r="I490" i="13"/>
  <c r="I493" i="13"/>
  <c r="I495" i="13"/>
  <c r="I496" i="13"/>
  <c r="I504" i="13"/>
  <c r="I509" i="13"/>
  <c r="I510" i="13"/>
  <c r="I511" i="13"/>
  <c r="I512" i="13"/>
  <c r="I513" i="13"/>
  <c r="I465" i="13"/>
  <c r="P468" i="13"/>
  <c r="Q468" i="13"/>
  <c r="P475" i="13"/>
  <c r="Q475" i="13"/>
  <c r="P477" i="13"/>
  <c r="Q477" i="13"/>
  <c r="P479" i="13"/>
  <c r="Q479" i="13"/>
  <c r="P480" i="13"/>
  <c r="Q480" i="13"/>
  <c r="P481" i="13"/>
  <c r="Q481" i="13"/>
  <c r="P482" i="13"/>
  <c r="Q482" i="13"/>
  <c r="P483" i="13"/>
  <c r="Q483" i="13"/>
  <c r="P484" i="13"/>
  <c r="Q484" i="13"/>
  <c r="P485" i="13"/>
  <c r="Q485" i="13"/>
  <c r="P486" i="13"/>
  <c r="Q486" i="13"/>
  <c r="P488" i="13"/>
  <c r="Q488" i="13"/>
  <c r="P489" i="13"/>
  <c r="Q489" i="13"/>
  <c r="P490" i="13"/>
  <c r="Q490" i="13"/>
  <c r="P491" i="13"/>
  <c r="Q491" i="13"/>
  <c r="P492" i="13"/>
  <c r="Q492" i="13"/>
  <c r="P493" i="13"/>
  <c r="Q493" i="13"/>
  <c r="P495" i="13"/>
  <c r="Q495" i="13"/>
  <c r="P496" i="13"/>
  <c r="Q496" i="13"/>
  <c r="P497" i="13"/>
  <c r="Q497" i="13"/>
  <c r="P498" i="13"/>
  <c r="Q498" i="13"/>
  <c r="P499" i="13"/>
  <c r="Q499" i="13"/>
  <c r="P500" i="13"/>
  <c r="Q500" i="13"/>
  <c r="P501" i="13"/>
  <c r="Q501" i="13"/>
  <c r="P502" i="13"/>
  <c r="Q502" i="13"/>
  <c r="P504" i="13"/>
  <c r="Q504" i="13"/>
  <c r="P506" i="13"/>
  <c r="Q506" i="13"/>
  <c r="P507" i="13"/>
  <c r="Q507" i="13"/>
  <c r="P508" i="13"/>
  <c r="Q508" i="13"/>
  <c r="P509" i="13"/>
  <c r="Q509" i="13"/>
  <c r="P510" i="13"/>
  <c r="Q510" i="13"/>
  <c r="P511" i="13"/>
  <c r="Q511" i="13"/>
  <c r="P512" i="13"/>
  <c r="Q512" i="13"/>
  <c r="P513" i="13"/>
  <c r="Q513" i="13"/>
  <c r="Q465" i="13"/>
  <c r="P465" i="13"/>
  <c r="P403" i="13"/>
  <c r="Q403" i="13"/>
  <c r="P406" i="13"/>
  <c r="Q406" i="13"/>
  <c r="P407" i="13"/>
  <c r="Q407" i="13"/>
  <c r="P409" i="13"/>
  <c r="Q409" i="13"/>
  <c r="P410" i="13"/>
  <c r="Q410" i="13"/>
  <c r="P411" i="13"/>
  <c r="Q411" i="13"/>
  <c r="P412" i="13"/>
  <c r="Q412" i="13"/>
  <c r="P413" i="13"/>
  <c r="Q413" i="13"/>
  <c r="P414" i="13"/>
  <c r="Q414" i="13"/>
  <c r="P415" i="13"/>
  <c r="Q415" i="13"/>
  <c r="P416" i="13"/>
  <c r="Q416" i="13"/>
  <c r="P417" i="13"/>
  <c r="Q417" i="13"/>
  <c r="P418" i="13"/>
  <c r="Q418" i="13"/>
  <c r="P419" i="13"/>
  <c r="Q419" i="13"/>
  <c r="P420" i="13"/>
  <c r="Q420" i="13"/>
  <c r="P421" i="13"/>
  <c r="Q421" i="13"/>
  <c r="P422" i="13"/>
  <c r="Q422" i="13"/>
  <c r="P423" i="13"/>
  <c r="Q423" i="13"/>
  <c r="P424" i="13"/>
  <c r="Q424" i="13"/>
  <c r="P426" i="13"/>
  <c r="Q426" i="13"/>
  <c r="P427" i="13"/>
  <c r="Q427" i="13"/>
  <c r="P428" i="13"/>
  <c r="Q428" i="13"/>
  <c r="P429" i="13"/>
  <c r="Q429" i="13"/>
  <c r="P430" i="13"/>
  <c r="Q430" i="13"/>
  <c r="P431" i="13"/>
  <c r="Q431" i="13"/>
  <c r="P432" i="13"/>
  <c r="Q432" i="13"/>
  <c r="P433" i="13"/>
  <c r="Q433" i="13"/>
  <c r="P434" i="13"/>
  <c r="Q434" i="13"/>
  <c r="P435" i="13"/>
  <c r="Q435" i="13"/>
  <c r="P436" i="13"/>
  <c r="Q436" i="13"/>
  <c r="P437" i="13"/>
  <c r="Q437" i="13"/>
  <c r="P438" i="13"/>
  <c r="Q438" i="13"/>
  <c r="P439" i="13"/>
  <c r="Q439" i="13"/>
  <c r="P440" i="13"/>
  <c r="Q440" i="13"/>
  <c r="P445" i="13"/>
  <c r="Q445" i="13"/>
  <c r="P446" i="13"/>
  <c r="Q446" i="13"/>
  <c r="P447" i="13"/>
  <c r="Q447" i="13"/>
  <c r="P448" i="13"/>
  <c r="Q448" i="13"/>
  <c r="P449" i="13"/>
  <c r="Q449" i="13"/>
  <c r="P450" i="13"/>
  <c r="Q450" i="13"/>
  <c r="P451" i="13"/>
  <c r="Q451" i="13"/>
  <c r="P452" i="13"/>
  <c r="Q452" i="13"/>
  <c r="Q398" i="13"/>
  <c r="P398" i="13"/>
  <c r="K404" i="13"/>
  <c r="K454" i="13" s="1"/>
  <c r="L399" i="13"/>
  <c r="L454" i="13" s="1"/>
  <c r="K408" i="13"/>
  <c r="I403" i="13"/>
  <c r="I406" i="13"/>
  <c r="I407" i="13"/>
  <c r="I409" i="13"/>
  <c r="I411" i="13"/>
  <c r="I412" i="13"/>
  <c r="I413" i="13"/>
  <c r="I414" i="13"/>
  <c r="I415" i="13"/>
  <c r="I417" i="13"/>
  <c r="I418" i="13"/>
  <c r="I419" i="13"/>
  <c r="I422" i="13"/>
  <c r="I423" i="13"/>
  <c r="I426" i="13"/>
  <c r="I427" i="13"/>
  <c r="I429" i="13"/>
  <c r="I430" i="13"/>
  <c r="I431" i="13"/>
  <c r="I432" i="13"/>
  <c r="I433" i="13"/>
  <c r="I437" i="13"/>
  <c r="I439" i="13"/>
  <c r="I440" i="13"/>
  <c r="I441" i="13"/>
  <c r="I442" i="13"/>
  <c r="I444" i="13"/>
  <c r="I446" i="13"/>
  <c r="I447" i="13"/>
  <c r="I448" i="13"/>
  <c r="I449" i="13"/>
  <c r="I398" i="13"/>
  <c r="J438" i="13"/>
  <c r="J452" i="13"/>
  <c r="J451" i="13"/>
  <c r="J450" i="13"/>
  <c r="J445" i="13"/>
  <c r="J436" i="13"/>
  <c r="J435" i="13"/>
  <c r="J434" i="13"/>
  <c r="J428" i="13"/>
  <c r="J424" i="13"/>
  <c r="J421" i="13"/>
  <c r="J420" i="13"/>
  <c r="J416" i="13"/>
  <c r="J410" i="13"/>
  <c r="J454" i="13" l="1"/>
  <c r="I515" i="13"/>
  <c r="K515" i="13"/>
  <c r="I454" i="13"/>
  <c r="P331" i="13"/>
  <c r="Q331" i="13"/>
  <c r="P377" i="13"/>
  <c r="Q377" i="13"/>
  <c r="P378" i="13"/>
  <c r="Q378" i="13"/>
  <c r="I378" i="13"/>
  <c r="I377" i="13"/>
  <c r="P372" i="13"/>
  <c r="Q372" i="13"/>
  <c r="P373" i="13"/>
  <c r="Q373" i="13"/>
  <c r="I372" i="13"/>
  <c r="I373" i="13"/>
  <c r="P369" i="13"/>
  <c r="Q369" i="13"/>
  <c r="I369" i="13"/>
  <c r="L357" i="13"/>
  <c r="I348" i="13"/>
  <c r="P381" i="13"/>
  <c r="Q381" i="13"/>
  <c r="P382" i="13"/>
  <c r="Q382" i="13"/>
  <c r="P383" i="13"/>
  <c r="Q383" i="13"/>
  <c r="P384" i="13"/>
  <c r="Q384" i="13"/>
  <c r="P385" i="13"/>
  <c r="Q385" i="13"/>
  <c r="Q368" i="13"/>
  <c r="P368" i="13"/>
  <c r="Q367" i="13"/>
  <c r="P367" i="13"/>
  <c r="I382" i="13"/>
  <c r="I383" i="13"/>
  <c r="I384" i="13"/>
  <c r="I385" i="13"/>
  <c r="I381" i="13"/>
  <c r="I368" i="13"/>
  <c r="I367" i="13"/>
  <c r="P363" i="13"/>
  <c r="Q363" i="13"/>
  <c r="I363" i="13"/>
  <c r="K361" i="13"/>
  <c r="K356" i="13"/>
  <c r="I355" i="13"/>
  <c r="P354" i="13"/>
  <c r="Q354" i="13"/>
  <c r="I354" i="13"/>
  <c r="P351" i="13"/>
  <c r="Q351" i="13"/>
  <c r="P352" i="13"/>
  <c r="Q352" i="13"/>
  <c r="I351" i="13"/>
  <c r="I352" i="13"/>
  <c r="Q335" i="13"/>
  <c r="P335" i="13"/>
  <c r="Q334" i="13"/>
  <c r="P334" i="13"/>
  <c r="Q333" i="13"/>
  <c r="P333" i="13"/>
  <c r="Q332" i="13"/>
  <c r="P332" i="13"/>
  <c r="I333" i="13"/>
  <c r="I334" i="13"/>
  <c r="I335" i="13"/>
  <c r="I332" i="13"/>
  <c r="P327" i="13"/>
  <c r="Q327" i="13"/>
  <c r="P328" i="13"/>
  <c r="Q328" i="13"/>
  <c r="P329" i="13"/>
  <c r="Q329" i="13"/>
  <c r="I328" i="13"/>
  <c r="I329" i="13"/>
  <c r="I327" i="13"/>
  <c r="P324" i="13"/>
  <c r="Q324" i="13"/>
  <c r="P325" i="13"/>
  <c r="Q325" i="13"/>
  <c r="Q323" i="13"/>
  <c r="P323" i="13"/>
  <c r="I324" i="13"/>
  <c r="I325" i="13"/>
  <c r="I323" i="13"/>
  <c r="Q358" i="13"/>
  <c r="P358" i="13"/>
  <c r="I358" i="13"/>
  <c r="L359" i="13"/>
  <c r="P380" i="13"/>
  <c r="Q380" i="13"/>
  <c r="P346" i="13"/>
  <c r="Q346" i="13"/>
  <c r="J346" i="13"/>
  <c r="J380" i="13"/>
  <c r="Q374" i="13"/>
  <c r="P374" i="13"/>
  <c r="L375" i="13"/>
  <c r="I374" i="13"/>
  <c r="Q360" i="13"/>
  <c r="P360" i="13"/>
  <c r="Q347" i="13"/>
  <c r="P347" i="13"/>
  <c r="J360" i="13"/>
  <c r="J347" i="13"/>
  <c r="Q386" i="13"/>
  <c r="P386" i="13"/>
  <c r="Q379" i="13"/>
  <c r="P379" i="13"/>
  <c r="Q376" i="13"/>
  <c r="P376" i="13"/>
  <c r="Q371" i="13"/>
  <c r="P371" i="13"/>
  <c r="Q370" i="13"/>
  <c r="P370" i="13"/>
  <c r="Q364" i="13"/>
  <c r="P364" i="13"/>
  <c r="Q362" i="13"/>
  <c r="P362" i="13"/>
  <c r="Q353" i="13"/>
  <c r="P353" i="13"/>
  <c r="Q345" i="13"/>
  <c r="P345" i="13"/>
  <c r="Q344" i="13"/>
  <c r="P344" i="13"/>
  <c r="Q336" i="13"/>
  <c r="P336" i="13"/>
  <c r="Q326" i="13"/>
  <c r="P326" i="13"/>
  <c r="J386" i="13"/>
  <c r="J379" i="13"/>
  <c r="J376" i="13"/>
  <c r="J371" i="13"/>
  <c r="J370" i="13"/>
  <c r="J364" i="13"/>
  <c r="J362" i="13"/>
  <c r="J353" i="13"/>
  <c r="J345" i="13"/>
  <c r="J344" i="13"/>
  <c r="K343" i="13"/>
  <c r="P342" i="13"/>
  <c r="Q342" i="13"/>
  <c r="J342" i="13"/>
  <c r="I341" i="13"/>
  <c r="P340" i="13"/>
  <c r="Q340" i="13"/>
  <c r="J340" i="13"/>
  <c r="P338" i="13"/>
  <c r="Q338" i="13"/>
  <c r="P339" i="13"/>
  <c r="Q339" i="13"/>
  <c r="I338" i="13"/>
  <c r="I339" i="13"/>
  <c r="Q337" i="13"/>
  <c r="P337" i="13"/>
  <c r="I337" i="13"/>
  <c r="J336" i="13"/>
  <c r="J326" i="13"/>
  <c r="Q330" i="13"/>
  <c r="P330" i="13"/>
  <c r="Q319" i="13"/>
  <c r="P319" i="13"/>
  <c r="Q316" i="13"/>
  <c r="P316" i="13"/>
  <c r="K349" i="13"/>
  <c r="K331" i="13"/>
  <c r="L320" i="13"/>
  <c r="I330" i="13"/>
  <c r="I319" i="13"/>
  <c r="L317" i="13"/>
  <c r="I316" i="13"/>
  <c r="Q350" i="13"/>
  <c r="P350" i="13"/>
  <c r="I350" i="13"/>
  <c r="D476" i="13"/>
  <c r="D472" i="13"/>
  <c r="D471" i="13"/>
  <c r="D444" i="13"/>
  <c r="D442" i="13"/>
  <c r="D441" i="13"/>
  <c r="D355" i="13"/>
  <c r="P355" i="13" s="1"/>
  <c r="D348" i="13"/>
  <c r="P348" i="13" s="1"/>
  <c r="D341" i="13"/>
  <c r="P341" i="13" s="1"/>
  <c r="I133" i="13"/>
  <c r="K134" i="13"/>
  <c r="I107" i="13"/>
  <c r="K108" i="13"/>
  <c r="I101" i="13"/>
  <c r="L102" i="13"/>
  <c r="Q98" i="13"/>
  <c r="P98" i="13"/>
  <c r="I98" i="13"/>
  <c r="L99" i="13"/>
  <c r="L173" i="13" s="1"/>
  <c r="L218" i="13"/>
  <c r="Q217" i="13"/>
  <c r="P217" i="13"/>
  <c r="I217" i="13"/>
  <c r="L216" i="13"/>
  <c r="I215" i="13"/>
  <c r="L207" i="13"/>
  <c r="I206" i="13"/>
  <c r="I204" i="13"/>
  <c r="M205" i="13"/>
  <c r="P202" i="13"/>
  <c r="I202" i="13"/>
  <c r="M203" i="13"/>
  <c r="Q205" i="13"/>
  <c r="Q203" i="13"/>
  <c r="P201" i="13"/>
  <c r="I201" i="13"/>
  <c r="P199" i="13"/>
  <c r="I199" i="13"/>
  <c r="M200" i="13"/>
  <c r="M244" i="13" s="1"/>
  <c r="Q200" i="13"/>
  <c r="I195" i="13"/>
  <c r="L193" i="13"/>
  <c r="L244" i="13" s="1"/>
  <c r="I192" i="13"/>
  <c r="I185" i="13"/>
  <c r="I184" i="13"/>
  <c r="K186" i="13"/>
  <c r="K244" i="13" s="1"/>
  <c r="Q305" i="13"/>
  <c r="P305" i="13"/>
  <c r="I305" i="13"/>
  <c r="K304" i="13"/>
  <c r="K303" i="13"/>
  <c r="P300" i="13"/>
  <c r="Q300" i="13"/>
  <c r="P301" i="13"/>
  <c r="Q301" i="13"/>
  <c r="P302" i="13"/>
  <c r="Q302" i="13"/>
  <c r="J301" i="13"/>
  <c r="J302" i="13"/>
  <c r="J300" i="13"/>
  <c r="Q296" i="13"/>
  <c r="P296" i="13"/>
  <c r="Q295" i="13"/>
  <c r="P295" i="13"/>
  <c r="I299" i="13"/>
  <c r="I298" i="13"/>
  <c r="I296" i="13"/>
  <c r="I295" i="13"/>
  <c r="Q292" i="13"/>
  <c r="P292" i="13"/>
  <c r="Q290" i="13"/>
  <c r="P290" i="13"/>
  <c r="Q289" i="13"/>
  <c r="P289" i="13"/>
  <c r="I293" i="13"/>
  <c r="I292" i="13"/>
  <c r="I291" i="13"/>
  <c r="I290" i="13"/>
  <c r="I289" i="13"/>
  <c r="P288" i="13"/>
  <c r="Q288" i="13"/>
  <c r="J288" i="13"/>
  <c r="Q287" i="13"/>
  <c r="P287" i="13"/>
  <c r="I287" i="13"/>
  <c r="K286" i="13"/>
  <c r="P284" i="13"/>
  <c r="Q284" i="13"/>
  <c r="P285" i="13"/>
  <c r="Q285" i="13"/>
  <c r="J285" i="13"/>
  <c r="J284" i="13"/>
  <c r="P282" i="13"/>
  <c r="Q282" i="13"/>
  <c r="P283" i="13"/>
  <c r="Q283" i="13"/>
  <c r="J282" i="13"/>
  <c r="J283" i="13"/>
  <c r="Q281" i="13"/>
  <c r="P281" i="13"/>
  <c r="Q280" i="13"/>
  <c r="P280" i="13"/>
  <c r="Q279" i="13"/>
  <c r="P279" i="13"/>
  <c r="Q278" i="13"/>
  <c r="P278" i="13"/>
  <c r="J281" i="13"/>
  <c r="J279" i="13"/>
  <c r="I280" i="13"/>
  <c r="I278" i="13"/>
  <c r="L277" i="13"/>
  <c r="I276" i="13"/>
  <c r="P274" i="13"/>
  <c r="Q274" i="13"/>
  <c r="P275" i="13"/>
  <c r="Q275" i="13"/>
  <c r="J275" i="13"/>
  <c r="J274" i="13"/>
  <c r="J311" i="13" s="1"/>
  <c r="P270" i="13"/>
  <c r="Q270" i="13"/>
  <c r="P271" i="13"/>
  <c r="Q271" i="13"/>
  <c r="P272" i="13"/>
  <c r="Q272" i="13"/>
  <c r="P273" i="13"/>
  <c r="Q273" i="13"/>
  <c r="I273" i="13"/>
  <c r="I272" i="13"/>
  <c r="I271" i="13"/>
  <c r="I270" i="13"/>
  <c r="I269" i="13"/>
  <c r="I268" i="13"/>
  <c r="Q267" i="13"/>
  <c r="P267" i="13"/>
  <c r="I267" i="13"/>
  <c r="K266" i="13"/>
  <c r="I265" i="13"/>
  <c r="K263" i="13"/>
  <c r="K311" i="13" s="1"/>
  <c r="I262" i="13"/>
  <c r="I261" i="13"/>
  <c r="I258" i="13"/>
  <c r="L259" i="13"/>
  <c r="Q255" i="13"/>
  <c r="P255" i="13"/>
  <c r="L256" i="13"/>
  <c r="I255" i="13"/>
  <c r="I311" i="13" s="1"/>
  <c r="L311" i="13" l="1"/>
  <c r="K173" i="13"/>
  <c r="P441" i="13"/>
  <c r="P454" i="13" s="1"/>
  <c r="Q441" i="13"/>
  <c r="P472" i="13"/>
  <c r="Q472" i="13"/>
  <c r="Q355" i="13"/>
  <c r="Q348" i="13"/>
  <c r="Q442" i="13"/>
  <c r="P442" i="13"/>
  <c r="P476" i="13"/>
  <c r="Q476" i="13"/>
  <c r="Q341" i="13"/>
  <c r="P444" i="13"/>
  <c r="Q444" i="13"/>
  <c r="P471" i="13"/>
  <c r="Q471" i="13"/>
  <c r="Q515" i="13" s="1"/>
  <c r="D304" i="13"/>
  <c r="D303" i="13"/>
  <c r="D299" i="13"/>
  <c r="D298" i="13"/>
  <c r="D293" i="13"/>
  <c r="D291" i="13"/>
  <c r="D276" i="13"/>
  <c r="D269" i="13"/>
  <c r="D268" i="13"/>
  <c r="D265" i="13"/>
  <c r="D262" i="13"/>
  <c r="D261" i="13"/>
  <c r="D258" i="13"/>
  <c r="Q199" i="13"/>
  <c r="Q201" i="13"/>
  <c r="Q202" i="13"/>
  <c r="Q204" i="13"/>
  <c r="Q221" i="13"/>
  <c r="Q220" i="13"/>
  <c r="Q219" i="13"/>
  <c r="Q211" i="13"/>
  <c r="Q210" i="13"/>
  <c r="Q198" i="13"/>
  <c r="Q197" i="13"/>
  <c r="Q196" i="13"/>
  <c r="Q189" i="13"/>
  <c r="Q188" i="13"/>
  <c r="Q187" i="13"/>
  <c r="P221" i="13"/>
  <c r="P219" i="13"/>
  <c r="P197" i="13"/>
  <c r="P220" i="13"/>
  <c r="P211" i="13"/>
  <c r="P210" i="13"/>
  <c r="P198" i="13"/>
  <c r="P196" i="13"/>
  <c r="P188" i="13"/>
  <c r="P189" i="13"/>
  <c r="P187" i="13"/>
  <c r="I212" i="13"/>
  <c r="I213" i="13"/>
  <c r="J211" i="13"/>
  <c r="J210" i="13"/>
  <c r="I221" i="13"/>
  <c r="J220" i="13"/>
  <c r="I219" i="13"/>
  <c r="I214" i="13"/>
  <c r="I209" i="13"/>
  <c r="I208" i="13"/>
  <c r="J198" i="13"/>
  <c r="I197" i="13"/>
  <c r="I244" i="13" s="1"/>
  <c r="J196" i="13"/>
  <c r="J189" i="13"/>
  <c r="J188" i="13"/>
  <c r="J187" i="13"/>
  <c r="D215" i="13"/>
  <c r="D214" i="13"/>
  <c r="Q214" i="13" s="1"/>
  <c r="D213" i="13"/>
  <c r="P213" i="13" s="1"/>
  <c r="D212" i="13"/>
  <c r="P212" i="13" s="1"/>
  <c r="D209" i="13"/>
  <c r="Q209" i="13" s="1"/>
  <c r="D208" i="13"/>
  <c r="P208" i="13" s="1"/>
  <c r="D206" i="13"/>
  <c r="D195" i="13"/>
  <c r="D192" i="13"/>
  <c r="D185" i="13"/>
  <c r="D184" i="13"/>
  <c r="Q109" i="13"/>
  <c r="Q110" i="13"/>
  <c r="Q111" i="13"/>
  <c r="Q117" i="13"/>
  <c r="Q118" i="13"/>
  <c r="Q119" i="13"/>
  <c r="Q120" i="13"/>
  <c r="Q121" i="13"/>
  <c r="Q122" i="13"/>
  <c r="Q123" i="13"/>
  <c r="Q124" i="13"/>
  <c r="Q125" i="13"/>
  <c r="Q126" i="13"/>
  <c r="Q127" i="13"/>
  <c r="Q128" i="13"/>
  <c r="Q129" i="13"/>
  <c r="Q130" i="13"/>
  <c r="Q131" i="13"/>
  <c r="Q132" i="13"/>
  <c r="Q135" i="13"/>
  <c r="Q137" i="13"/>
  <c r="Q138" i="13"/>
  <c r="Q139" i="13"/>
  <c r="Q143" i="13"/>
  <c r="D136" i="13"/>
  <c r="Q136" i="13" s="1"/>
  <c r="D133" i="13"/>
  <c r="D116" i="13"/>
  <c r="Q116" i="13" s="1"/>
  <c r="D115" i="13"/>
  <c r="Q115" i="13" s="1"/>
  <c r="D114" i="13"/>
  <c r="Q114" i="13" s="1"/>
  <c r="D113" i="13"/>
  <c r="P113" i="13" s="1"/>
  <c r="D112" i="13"/>
  <c r="Q112" i="13" s="1"/>
  <c r="P137" i="13"/>
  <c r="P138" i="13"/>
  <c r="P118" i="13"/>
  <c r="P119" i="13"/>
  <c r="P120" i="13"/>
  <c r="P121" i="13"/>
  <c r="P122" i="13"/>
  <c r="P143" i="13"/>
  <c r="P139" i="13"/>
  <c r="P135" i="13"/>
  <c r="P124" i="13"/>
  <c r="P125" i="13"/>
  <c r="P126" i="13"/>
  <c r="P127" i="13"/>
  <c r="P128" i="13"/>
  <c r="P129" i="13"/>
  <c r="P130" i="13"/>
  <c r="P131" i="13"/>
  <c r="P132" i="13"/>
  <c r="P123" i="13"/>
  <c r="P110" i="13"/>
  <c r="P111" i="13"/>
  <c r="P117" i="13"/>
  <c r="P109" i="13"/>
  <c r="I139" i="13"/>
  <c r="J138" i="13"/>
  <c r="J137" i="13"/>
  <c r="I135" i="13"/>
  <c r="I130" i="13"/>
  <c r="I131" i="13"/>
  <c r="I132" i="13"/>
  <c r="I124" i="13"/>
  <c r="I125" i="13"/>
  <c r="I126" i="13"/>
  <c r="I127" i="13"/>
  <c r="I128" i="13"/>
  <c r="I129" i="13"/>
  <c r="I123" i="13"/>
  <c r="J122" i="13"/>
  <c r="I121" i="13"/>
  <c r="I119" i="13"/>
  <c r="J120" i="13"/>
  <c r="J118" i="13"/>
  <c r="I117" i="13"/>
  <c r="I115" i="13"/>
  <c r="I113" i="13"/>
  <c r="I112" i="13"/>
  <c r="I110" i="13"/>
  <c r="I111" i="13"/>
  <c r="I109" i="13"/>
  <c r="I143" i="13"/>
  <c r="I114" i="13"/>
  <c r="I116" i="13"/>
  <c r="I136" i="13"/>
  <c r="V476" i="11"/>
  <c r="V475" i="11"/>
  <c r="V474" i="11"/>
  <c r="V469" i="11"/>
  <c r="V468" i="11"/>
  <c r="V467" i="11"/>
  <c r="V466" i="11"/>
  <c r="V462" i="11"/>
  <c r="V461" i="11"/>
  <c r="V455" i="11"/>
  <c r="U447" i="11"/>
  <c r="U450" i="11"/>
  <c r="U451" i="11"/>
  <c r="U452" i="11"/>
  <c r="U456" i="11"/>
  <c r="U458" i="11"/>
  <c r="U459" i="11"/>
  <c r="U460" i="11"/>
  <c r="U464" i="11"/>
  <c r="U465" i="11"/>
  <c r="U477" i="11"/>
  <c r="U440" i="11"/>
  <c r="V426" i="11"/>
  <c r="V425" i="11"/>
  <c r="V424" i="11"/>
  <c r="V419" i="11"/>
  <c r="V410" i="11"/>
  <c r="V409" i="11"/>
  <c r="V408" i="11"/>
  <c r="V402" i="11"/>
  <c r="V398" i="11"/>
  <c r="V395" i="11"/>
  <c r="V394" i="11"/>
  <c r="V390" i="11"/>
  <c r="V384" i="11"/>
  <c r="U377" i="11"/>
  <c r="U379" i="11"/>
  <c r="U382" i="11"/>
  <c r="U386" i="11"/>
  <c r="U391" i="11"/>
  <c r="U400" i="11"/>
  <c r="U401" i="11"/>
  <c r="U404" i="11"/>
  <c r="U406" i="11"/>
  <c r="U407" i="11"/>
  <c r="U411" i="11"/>
  <c r="U423" i="11"/>
  <c r="U375" i="11"/>
  <c r="P515" i="13" l="1"/>
  <c r="Q454" i="13"/>
  <c r="V428" i="11"/>
  <c r="J244" i="13"/>
  <c r="V483" i="11"/>
  <c r="I173" i="13"/>
  <c r="J173" i="13"/>
  <c r="P116" i="13"/>
  <c r="Q192" i="13"/>
  <c r="P192" i="13"/>
  <c r="P215" i="13"/>
  <c r="Q215" i="13"/>
  <c r="Q261" i="13"/>
  <c r="P261" i="13"/>
  <c r="Q269" i="13"/>
  <c r="P269" i="13"/>
  <c r="Q298" i="13"/>
  <c r="P298" i="13"/>
  <c r="P107" i="13"/>
  <c r="Q107" i="13"/>
  <c r="Q195" i="13"/>
  <c r="P195" i="13"/>
  <c r="P262" i="13"/>
  <c r="Q262" i="13"/>
  <c r="Q276" i="13"/>
  <c r="P276" i="13"/>
  <c r="Q299" i="13"/>
  <c r="P299" i="13"/>
  <c r="P184" i="13"/>
  <c r="Q184" i="13"/>
  <c r="Q206" i="13"/>
  <c r="P206" i="13"/>
  <c r="Q212" i="13"/>
  <c r="Q265" i="13"/>
  <c r="P265" i="13"/>
  <c r="P291" i="13"/>
  <c r="Q291" i="13"/>
  <c r="P101" i="13"/>
  <c r="Q101" i="13"/>
  <c r="Q133" i="13"/>
  <c r="P133" i="13"/>
  <c r="Q185" i="13"/>
  <c r="P185" i="13"/>
  <c r="P209" i="13"/>
  <c r="P258" i="13"/>
  <c r="Q258" i="13"/>
  <c r="Q268" i="13"/>
  <c r="P268" i="13"/>
  <c r="P293" i="13"/>
  <c r="Q293" i="13"/>
  <c r="P214" i="13"/>
  <c r="Q213" i="13"/>
  <c r="P115" i="13"/>
  <c r="Q208" i="13"/>
  <c r="P112" i="13"/>
  <c r="Q113" i="13"/>
  <c r="P114" i="13"/>
  <c r="P136" i="13"/>
  <c r="D444" i="11"/>
  <c r="G42" i="11"/>
  <c r="H42" i="11" s="1"/>
  <c r="G44" i="11"/>
  <c r="H44" i="11" s="1"/>
  <c r="G45" i="11"/>
  <c r="H45" i="11" s="1"/>
  <c r="G47" i="11"/>
  <c r="H47" i="11" s="1"/>
  <c r="G48" i="11"/>
  <c r="H48" i="11" s="1"/>
  <c r="G16" i="11"/>
  <c r="H16" i="11" s="1"/>
  <c r="P16" i="11" s="1"/>
  <c r="D335" i="11"/>
  <c r="V362" i="11"/>
  <c r="V355" i="11"/>
  <c r="V352" i="11"/>
  <c r="V348" i="11"/>
  <c r="V347" i="11"/>
  <c r="V341" i="11"/>
  <c r="V339" i="11"/>
  <c r="V333" i="11"/>
  <c r="V326" i="11"/>
  <c r="V325" i="11"/>
  <c r="V323" i="11"/>
  <c r="V321" i="11"/>
  <c r="V318" i="11"/>
  <c r="V317" i="11"/>
  <c r="V308" i="11"/>
  <c r="U306" i="11"/>
  <c r="U307" i="11"/>
  <c r="U309" i="11"/>
  <c r="U310" i="11"/>
  <c r="U311" i="11"/>
  <c r="U313" i="11"/>
  <c r="U319" i="11"/>
  <c r="U320" i="11"/>
  <c r="U330" i="11"/>
  <c r="U331" i="11"/>
  <c r="U332" i="11"/>
  <c r="U334" i="11"/>
  <c r="U337" i="11"/>
  <c r="U353" i="11"/>
  <c r="U354" i="11"/>
  <c r="U300" i="11"/>
  <c r="Q311" i="13" l="1"/>
  <c r="Q244" i="13"/>
  <c r="P311" i="13"/>
  <c r="P244" i="13"/>
  <c r="Q173" i="13"/>
  <c r="P173" i="13"/>
  <c r="V282" i="11"/>
  <c r="V281" i="11"/>
  <c r="V280" i="11"/>
  <c r="V268" i="11"/>
  <c r="V263" i="11"/>
  <c r="V262" i="11"/>
  <c r="V261" i="11"/>
  <c r="V259" i="11"/>
  <c r="V256" i="11"/>
  <c r="V255" i="11"/>
  <c r="U248" i="11"/>
  <c r="U251" i="11"/>
  <c r="U252" i="11"/>
  <c r="U253" i="11"/>
  <c r="U254" i="11"/>
  <c r="U258" i="11"/>
  <c r="U260" i="11"/>
  <c r="U269" i="11"/>
  <c r="U270" i="11"/>
  <c r="U272" i="11"/>
  <c r="U285" i="11"/>
  <c r="U240" i="11"/>
  <c r="V208" i="11"/>
  <c r="V201" i="11"/>
  <c r="V200" i="11"/>
  <c r="V191" i="11"/>
  <c r="V189" i="11"/>
  <c r="V182" i="11"/>
  <c r="V181" i="11"/>
  <c r="U209" i="11"/>
  <c r="U207" i="11"/>
  <c r="U206" i="11"/>
  <c r="U196" i="11"/>
  <c r="U195" i="11"/>
  <c r="U190" i="11"/>
  <c r="T192" i="11"/>
  <c r="T228" i="11" s="1"/>
  <c r="V131" i="11"/>
  <c r="V130" i="11"/>
  <c r="V167" i="11" s="1"/>
  <c r="U136" i="11"/>
  <c r="U132" i="11"/>
  <c r="U128" i="11"/>
  <c r="U126" i="11"/>
  <c r="U125" i="11"/>
  <c r="U124" i="11"/>
  <c r="U123" i="11"/>
  <c r="U122" i="11"/>
  <c r="U121" i="11"/>
  <c r="U120" i="11"/>
  <c r="U119" i="11"/>
  <c r="U118" i="11"/>
  <c r="U117" i="11"/>
  <c r="U115" i="11"/>
  <c r="U113" i="11"/>
  <c r="U111" i="11"/>
  <c r="U105" i="11"/>
  <c r="U104" i="11"/>
  <c r="U103" i="11"/>
  <c r="U96" i="11"/>
  <c r="D448" i="11"/>
  <c r="D445" i="11"/>
  <c r="U483" i="11" s="1"/>
  <c r="D418" i="11"/>
  <c r="D416" i="11"/>
  <c r="D649" i="12"/>
  <c r="D415" i="11"/>
  <c r="D329" i="11"/>
  <c r="D322" i="11"/>
  <c r="H481" i="11"/>
  <c r="H480" i="11"/>
  <c r="H479" i="11"/>
  <c r="H478" i="11"/>
  <c r="H477" i="11"/>
  <c r="S477" i="11" s="1"/>
  <c r="H476" i="11"/>
  <c r="R476" i="11" s="1"/>
  <c r="H475" i="11"/>
  <c r="R475" i="11" s="1"/>
  <c r="H474" i="11"/>
  <c r="R474" i="11" s="1"/>
  <c r="H473" i="11"/>
  <c r="H472" i="11"/>
  <c r="P472" i="11" s="1"/>
  <c r="P483" i="11" s="1"/>
  <c r="H471" i="11"/>
  <c r="Q471" i="11" s="1"/>
  <c r="H470" i="11"/>
  <c r="H469" i="11"/>
  <c r="R469" i="11" s="1"/>
  <c r="H468" i="11"/>
  <c r="R468" i="11" s="1"/>
  <c r="H467" i="11"/>
  <c r="R467" i="11" s="1"/>
  <c r="H466" i="11"/>
  <c r="R466" i="11" s="1"/>
  <c r="H465" i="11"/>
  <c r="S465" i="11" s="1"/>
  <c r="H464" i="11"/>
  <c r="S464" i="11" s="1"/>
  <c r="H463" i="11"/>
  <c r="H462" i="11"/>
  <c r="R462" i="11" s="1"/>
  <c r="H461" i="11"/>
  <c r="R461" i="11" s="1"/>
  <c r="H460" i="11"/>
  <c r="S460" i="11" s="1"/>
  <c r="H459" i="11"/>
  <c r="S459" i="11" s="1"/>
  <c r="H458" i="11"/>
  <c r="S458" i="11" s="1"/>
  <c r="H457" i="11"/>
  <c r="H456" i="11"/>
  <c r="S456" i="11" s="1"/>
  <c r="H455" i="11"/>
  <c r="R455" i="11" s="1"/>
  <c r="H454" i="11"/>
  <c r="H453" i="11"/>
  <c r="H452" i="11"/>
  <c r="S452" i="11" s="1"/>
  <c r="H451" i="11"/>
  <c r="S451" i="11" s="1"/>
  <c r="H450" i="11"/>
  <c r="S450" i="11" s="1"/>
  <c r="H449" i="11"/>
  <c r="H448" i="11"/>
  <c r="H447" i="11"/>
  <c r="S447" i="11" s="1"/>
  <c r="H445" i="11"/>
  <c r="H444" i="11"/>
  <c r="H442" i="11"/>
  <c r="H440" i="11"/>
  <c r="H426" i="11"/>
  <c r="R426" i="11" s="1"/>
  <c r="H425" i="11"/>
  <c r="R425" i="11" s="1"/>
  <c r="H424" i="11"/>
  <c r="H423" i="11"/>
  <c r="H422" i="11"/>
  <c r="H421" i="11"/>
  <c r="H420" i="11"/>
  <c r="H419" i="11"/>
  <c r="R419" i="11" s="1"/>
  <c r="H418" i="11"/>
  <c r="H417" i="11"/>
  <c r="P417" i="11" s="1"/>
  <c r="H416" i="11"/>
  <c r="H415" i="11"/>
  <c r="H414" i="11"/>
  <c r="H413" i="11"/>
  <c r="H412" i="11"/>
  <c r="Q412" i="11" s="1"/>
  <c r="H411" i="11"/>
  <c r="S411" i="11" s="1"/>
  <c r="H410" i="11"/>
  <c r="R410" i="11" s="1"/>
  <c r="H409" i="11"/>
  <c r="R409" i="11" s="1"/>
  <c r="H408" i="11"/>
  <c r="R408" i="11" s="1"/>
  <c r="H407" i="11"/>
  <c r="S407" i="11" s="1"/>
  <c r="H406" i="11"/>
  <c r="S406" i="11" s="1"/>
  <c r="H405" i="11"/>
  <c r="M405" i="11" s="1"/>
  <c r="H404" i="11"/>
  <c r="S404" i="11" s="1"/>
  <c r="H403" i="11"/>
  <c r="H402" i="11"/>
  <c r="R402" i="11" s="1"/>
  <c r="H401" i="11"/>
  <c r="S401" i="11" s="1"/>
  <c r="H400" i="11"/>
  <c r="S400" i="11" s="1"/>
  <c r="H399" i="11"/>
  <c r="P399" i="11" s="1"/>
  <c r="P428" i="11" s="1"/>
  <c r="H398" i="11"/>
  <c r="R398" i="11" s="1"/>
  <c r="H397" i="11"/>
  <c r="H396" i="11"/>
  <c r="H395" i="11"/>
  <c r="R395" i="11" s="1"/>
  <c r="H394" i="11"/>
  <c r="R394" i="11" s="1"/>
  <c r="H393" i="11"/>
  <c r="H392" i="11"/>
  <c r="H391" i="11"/>
  <c r="S391" i="11" s="1"/>
  <c r="H390" i="11"/>
  <c r="R390" i="11" s="1"/>
  <c r="H389" i="11"/>
  <c r="M389" i="11" s="1"/>
  <c r="H388" i="11"/>
  <c r="M388" i="11" s="1"/>
  <c r="H387" i="11"/>
  <c r="M387" i="11" s="1"/>
  <c r="H386" i="11"/>
  <c r="S386" i="11" s="1"/>
  <c r="H385" i="11"/>
  <c r="M385" i="11" s="1"/>
  <c r="H384" i="11"/>
  <c r="R384" i="11" s="1"/>
  <c r="H383" i="11"/>
  <c r="M383" i="11" s="1"/>
  <c r="H382" i="11"/>
  <c r="S382" i="11" s="1"/>
  <c r="H381" i="11"/>
  <c r="M381" i="11" s="1"/>
  <c r="H379" i="11"/>
  <c r="S379" i="11" s="1"/>
  <c r="H377" i="11"/>
  <c r="H375" i="11"/>
  <c r="H362" i="11"/>
  <c r="H361" i="11"/>
  <c r="H360" i="11"/>
  <c r="H359" i="11"/>
  <c r="H358" i="11"/>
  <c r="H357" i="11"/>
  <c r="H356" i="11"/>
  <c r="Q356" i="11" s="1"/>
  <c r="H355" i="11"/>
  <c r="R355" i="11" s="1"/>
  <c r="H354" i="11"/>
  <c r="S354" i="11" s="1"/>
  <c r="H353" i="11"/>
  <c r="S353" i="11" s="1"/>
  <c r="H352" i="11"/>
  <c r="R352" i="11" s="1"/>
  <c r="H351" i="11"/>
  <c r="H350" i="11"/>
  <c r="H349" i="11"/>
  <c r="H348" i="11"/>
  <c r="R348" i="11" s="1"/>
  <c r="H347" i="11"/>
  <c r="R347" i="11" s="1"/>
  <c r="H346" i="11"/>
  <c r="H345" i="11"/>
  <c r="H344" i="11"/>
  <c r="H342" i="11"/>
  <c r="P342" i="11" s="1"/>
  <c r="H341" i="11"/>
  <c r="R341" i="11" s="1"/>
  <c r="H340" i="11"/>
  <c r="H339" i="11"/>
  <c r="R339" i="11" s="1"/>
  <c r="H338" i="11"/>
  <c r="H337" i="11"/>
  <c r="H336" i="11"/>
  <c r="H335" i="11"/>
  <c r="H334" i="11"/>
  <c r="S334" i="11" s="1"/>
  <c r="H333" i="11"/>
  <c r="R333" i="11" s="1"/>
  <c r="H332" i="11"/>
  <c r="S332" i="11" s="1"/>
  <c r="H331" i="11"/>
  <c r="S331" i="11" s="1"/>
  <c r="H330" i="11"/>
  <c r="S330" i="11" s="1"/>
  <c r="H329" i="11"/>
  <c r="H328" i="11"/>
  <c r="Q328" i="11" s="1"/>
  <c r="H327" i="11"/>
  <c r="Q327" i="11" s="1"/>
  <c r="H326" i="11"/>
  <c r="R326" i="11" s="1"/>
  <c r="H325" i="11"/>
  <c r="R325" i="11" s="1"/>
  <c r="H324" i="11"/>
  <c r="H323" i="11"/>
  <c r="R323" i="11" s="1"/>
  <c r="H322" i="11"/>
  <c r="H321" i="11"/>
  <c r="R321" i="11" s="1"/>
  <c r="H320" i="11"/>
  <c r="S320" i="11" s="1"/>
  <c r="H319" i="11"/>
  <c r="S319" i="11" s="1"/>
  <c r="H318" i="11"/>
  <c r="R318" i="11" s="1"/>
  <c r="H317" i="11"/>
  <c r="R317" i="11" s="1"/>
  <c r="H316" i="11"/>
  <c r="H315" i="11"/>
  <c r="H314" i="11"/>
  <c r="H313" i="11"/>
  <c r="S313" i="11" s="1"/>
  <c r="H312" i="11"/>
  <c r="H311" i="11"/>
  <c r="S311" i="11" s="1"/>
  <c r="H310" i="11"/>
  <c r="S310" i="11" s="1"/>
  <c r="H309" i="11"/>
  <c r="S309" i="11" s="1"/>
  <c r="H308" i="11"/>
  <c r="R308" i="11" s="1"/>
  <c r="H307" i="11"/>
  <c r="S307" i="11" s="1"/>
  <c r="H306" i="11"/>
  <c r="S306" i="11" s="1"/>
  <c r="H305" i="11"/>
  <c r="H302" i="11"/>
  <c r="H300" i="11"/>
  <c r="S300" i="11" s="1"/>
  <c r="H285" i="11"/>
  <c r="S285" i="11" s="1"/>
  <c r="H284" i="11"/>
  <c r="H283" i="11"/>
  <c r="H282" i="11"/>
  <c r="R282" i="11" s="1"/>
  <c r="H281" i="11"/>
  <c r="R281" i="11" s="1"/>
  <c r="H280" i="11"/>
  <c r="R280" i="11" s="1"/>
  <c r="H279" i="11"/>
  <c r="H278" i="11"/>
  <c r="H276" i="11"/>
  <c r="H275" i="11"/>
  <c r="H274" i="11"/>
  <c r="P274" i="11" s="1"/>
  <c r="P295" i="11" s="1"/>
  <c r="H273" i="11"/>
  <c r="H272" i="11"/>
  <c r="S272" i="11" s="1"/>
  <c r="H271" i="11"/>
  <c r="H270" i="11"/>
  <c r="S270" i="11" s="1"/>
  <c r="H269" i="11"/>
  <c r="S269" i="11" s="1"/>
  <c r="H268" i="11"/>
  <c r="R268" i="11" s="1"/>
  <c r="H267" i="11"/>
  <c r="H266" i="11"/>
  <c r="H265" i="11"/>
  <c r="Q265" i="11" s="1"/>
  <c r="H264" i="11"/>
  <c r="Q264" i="11" s="1"/>
  <c r="H263" i="11"/>
  <c r="R263" i="11" s="1"/>
  <c r="H262" i="11"/>
  <c r="R262" i="11" s="1"/>
  <c r="H261" i="11"/>
  <c r="R261" i="11" s="1"/>
  <c r="H260" i="11"/>
  <c r="S260" i="11" s="1"/>
  <c r="H259" i="11"/>
  <c r="R259" i="11" s="1"/>
  <c r="H258" i="11"/>
  <c r="S258" i="11" s="1"/>
  <c r="H257" i="11"/>
  <c r="H256" i="11"/>
  <c r="R256" i="11" s="1"/>
  <c r="H255" i="11"/>
  <c r="R255" i="11" s="1"/>
  <c r="H254" i="11"/>
  <c r="S254" i="11" s="1"/>
  <c r="H253" i="11"/>
  <c r="S253" i="11" s="1"/>
  <c r="H252" i="11"/>
  <c r="S252" i="11" s="1"/>
  <c r="H251" i="11"/>
  <c r="S251" i="11" s="1"/>
  <c r="H250" i="11"/>
  <c r="H249" i="11"/>
  <c r="H248" i="11"/>
  <c r="S248" i="11" s="1"/>
  <c r="H247" i="11"/>
  <c r="H245" i="11"/>
  <c r="H244" i="11"/>
  <c r="H242" i="11"/>
  <c r="J295" i="11" s="1"/>
  <c r="J529" i="11" s="1"/>
  <c r="H240" i="11"/>
  <c r="H180" i="11"/>
  <c r="S180" i="11" s="1"/>
  <c r="H181" i="11"/>
  <c r="R181" i="11" s="1"/>
  <c r="H182" i="11"/>
  <c r="R182" i="11" s="1"/>
  <c r="H183" i="11"/>
  <c r="Q183" i="11" s="1"/>
  <c r="Q228" i="11" s="1"/>
  <c r="H186" i="11"/>
  <c r="S186" i="11" s="1"/>
  <c r="H187" i="11"/>
  <c r="P187" i="11" s="1"/>
  <c r="P228" i="11" s="1"/>
  <c r="H188" i="11"/>
  <c r="S188" i="11" s="1"/>
  <c r="H189" i="11"/>
  <c r="R189" i="11" s="1"/>
  <c r="H190" i="11"/>
  <c r="S190" i="11" s="1"/>
  <c r="H191" i="11"/>
  <c r="R191" i="11" s="1"/>
  <c r="H192" i="11"/>
  <c r="O192" i="11" s="1"/>
  <c r="O228" i="11" s="1"/>
  <c r="H193" i="11"/>
  <c r="O193" i="11" s="1"/>
  <c r="H195" i="11"/>
  <c r="S195" i="11" s="1"/>
  <c r="H196" i="11"/>
  <c r="S196" i="11" s="1"/>
  <c r="H197" i="11"/>
  <c r="S197" i="11" s="1"/>
  <c r="H198" i="11"/>
  <c r="S198" i="11" s="1"/>
  <c r="H199" i="11"/>
  <c r="S199" i="11" s="1"/>
  <c r="H200" i="11"/>
  <c r="R200" i="11" s="1"/>
  <c r="H201" i="11"/>
  <c r="R201" i="11" s="1"/>
  <c r="H202" i="11"/>
  <c r="S202" i="11" s="1"/>
  <c r="H203" i="11"/>
  <c r="S203" i="11" s="1"/>
  <c r="H204" i="11"/>
  <c r="S204" i="11" s="1"/>
  <c r="H205" i="11"/>
  <c r="S205" i="11" s="1"/>
  <c r="H206" i="11"/>
  <c r="S206" i="11" s="1"/>
  <c r="H207" i="11"/>
  <c r="S207" i="11" s="1"/>
  <c r="H208" i="11"/>
  <c r="R208" i="11" s="1"/>
  <c r="H209" i="11"/>
  <c r="S209" i="11" s="1"/>
  <c r="H179" i="11"/>
  <c r="H98" i="11"/>
  <c r="H100" i="11"/>
  <c r="S100" i="11" s="1"/>
  <c r="H102" i="11"/>
  <c r="S102" i="11" s="1"/>
  <c r="H103" i="11"/>
  <c r="S103" i="11" s="1"/>
  <c r="H104" i="11"/>
  <c r="S104" i="11" s="1"/>
  <c r="H105" i="11"/>
  <c r="S105" i="11" s="1"/>
  <c r="H106" i="11"/>
  <c r="S106" i="11" s="1"/>
  <c r="H107" i="11"/>
  <c r="S107" i="11" s="1"/>
  <c r="H108" i="11"/>
  <c r="S108" i="11" s="1"/>
  <c r="H109" i="11"/>
  <c r="S109" i="11" s="1"/>
  <c r="H110" i="11"/>
  <c r="S110" i="11" s="1"/>
  <c r="H111" i="11"/>
  <c r="S111" i="11" s="1"/>
  <c r="H112" i="11"/>
  <c r="Q112" i="11" s="1"/>
  <c r="H113" i="11"/>
  <c r="S113" i="11" s="1"/>
  <c r="H114" i="11"/>
  <c r="H115" i="11"/>
  <c r="S115" i="11" s="1"/>
  <c r="H116" i="11"/>
  <c r="Q116" i="11" s="1"/>
  <c r="H117" i="11"/>
  <c r="S117" i="11" s="1"/>
  <c r="H118" i="11"/>
  <c r="S118" i="11" s="1"/>
  <c r="H119" i="11"/>
  <c r="S119" i="11" s="1"/>
  <c r="H120" i="11"/>
  <c r="S120" i="11" s="1"/>
  <c r="H121" i="11"/>
  <c r="S121" i="11" s="1"/>
  <c r="H122" i="11"/>
  <c r="S122" i="11" s="1"/>
  <c r="H123" i="11"/>
  <c r="S123" i="11" s="1"/>
  <c r="H124" i="11"/>
  <c r="S124" i="11" s="1"/>
  <c r="H125" i="11"/>
  <c r="S125" i="11" s="1"/>
  <c r="H126" i="11"/>
  <c r="S126" i="11" s="1"/>
  <c r="H127" i="11"/>
  <c r="S127" i="11" s="1"/>
  <c r="H128" i="11"/>
  <c r="S128" i="11" s="1"/>
  <c r="H129" i="11"/>
  <c r="S129" i="11" s="1"/>
  <c r="H130" i="11"/>
  <c r="R130" i="11" s="1"/>
  <c r="H131" i="11"/>
  <c r="R131" i="11" s="1"/>
  <c r="H132" i="11"/>
  <c r="S132" i="11" s="1"/>
  <c r="H136" i="11"/>
  <c r="S136" i="11" s="1"/>
  <c r="H96" i="11"/>
  <c r="D284" i="11"/>
  <c r="D283" i="11"/>
  <c r="D279" i="11"/>
  <c r="D278" i="11"/>
  <c r="D273" i="11"/>
  <c r="D271" i="11"/>
  <c r="D257" i="11"/>
  <c r="D250" i="11"/>
  <c r="D249" i="11"/>
  <c r="D247" i="11"/>
  <c r="D245" i="11"/>
  <c r="D244" i="11"/>
  <c r="D242" i="11"/>
  <c r="D205" i="11"/>
  <c r="U205" i="11" s="1"/>
  <c r="D204" i="11"/>
  <c r="U204" i="11" s="1"/>
  <c r="U203" i="11"/>
  <c r="D202" i="11"/>
  <c r="U202" i="11" s="1"/>
  <c r="D199" i="11"/>
  <c r="U199" i="11" s="1"/>
  <c r="D198" i="11"/>
  <c r="U198" i="11" s="1"/>
  <c r="D197" i="11"/>
  <c r="U197" i="11" s="1"/>
  <c r="D188" i="11"/>
  <c r="U188" i="11" s="1"/>
  <c r="D186" i="11"/>
  <c r="U186" i="11" s="1"/>
  <c r="D180" i="11"/>
  <c r="U180" i="11" s="1"/>
  <c r="D179" i="11"/>
  <c r="U179" i="11" s="1"/>
  <c r="D129" i="11"/>
  <c r="U129" i="11" s="1"/>
  <c r="D127" i="11"/>
  <c r="U127" i="11" s="1"/>
  <c r="D110" i="11"/>
  <c r="U110" i="11" s="1"/>
  <c r="D109" i="11"/>
  <c r="U109" i="11" s="1"/>
  <c r="D108" i="11"/>
  <c r="U108" i="11" s="1"/>
  <c r="D107" i="11"/>
  <c r="U107" i="11" s="1"/>
  <c r="D106" i="11"/>
  <c r="U106" i="11" s="1"/>
  <c r="D102" i="11"/>
  <c r="U102" i="11" s="1"/>
  <c r="D100" i="11"/>
  <c r="U100" i="11" s="1"/>
  <c r="D98" i="11"/>
  <c r="U98" i="11" s="1"/>
  <c r="D725" i="12"/>
  <c r="D718" i="12"/>
  <c r="C742" i="12"/>
  <c r="H742" i="12" s="1"/>
  <c r="J742" i="12" s="1"/>
  <c r="P742" i="12" s="1"/>
  <c r="D704" i="12"/>
  <c r="C699" i="12"/>
  <c r="H699" i="12" s="1"/>
  <c r="J699" i="12" s="1"/>
  <c r="P699" i="12" s="1"/>
  <c r="D698" i="12"/>
  <c r="D636" i="12"/>
  <c r="C654" i="12"/>
  <c r="H654" i="12" s="1"/>
  <c r="J654" i="12" s="1"/>
  <c r="P654" i="12" s="1"/>
  <c r="C650" i="12"/>
  <c r="H650" i="12" s="1"/>
  <c r="J650" i="12" s="1"/>
  <c r="D647" i="12"/>
  <c r="Q428" i="11" l="1"/>
  <c r="M403" i="11"/>
  <c r="L363" i="11"/>
  <c r="L483" i="11"/>
  <c r="R362" i="11"/>
  <c r="M428" i="11"/>
  <c r="M529" i="11" s="1"/>
  <c r="U228" i="11"/>
  <c r="Q295" i="11"/>
  <c r="S375" i="11"/>
  <c r="S428" i="11" s="1"/>
  <c r="H428" i="11"/>
  <c r="U295" i="11"/>
  <c r="V295" i="11"/>
  <c r="R228" i="11"/>
  <c r="V228" i="11"/>
  <c r="R428" i="11"/>
  <c r="U428" i="11"/>
  <c r="H228" i="11"/>
  <c r="H295" i="11"/>
  <c r="R295" i="11"/>
  <c r="S440" i="11"/>
  <c r="S483" i="11" s="1"/>
  <c r="H483" i="11"/>
  <c r="R483" i="11"/>
  <c r="S96" i="11"/>
  <c r="H167" i="11"/>
  <c r="Q167" i="11"/>
  <c r="U167" i="11"/>
  <c r="Q470" i="11"/>
  <c r="Q483" i="11" s="1"/>
  <c r="R114" i="11"/>
  <c r="R167" i="11" s="1"/>
  <c r="S240" i="11"/>
  <c r="S295" i="11" s="1"/>
  <c r="S179" i="11"/>
  <c r="S228" i="11" s="1"/>
  <c r="S98" i="11"/>
  <c r="Q337" i="11"/>
  <c r="S337" i="11"/>
  <c r="C696" i="12"/>
  <c r="H696" i="12" s="1"/>
  <c r="J696" i="12" s="1"/>
  <c r="P696" i="12" s="1"/>
  <c r="C705" i="12"/>
  <c r="H705" i="12" s="1"/>
  <c r="J705" i="12" s="1"/>
  <c r="P705" i="12" s="1"/>
  <c r="C760" i="12"/>
  <c r="H760" i="12" s="1"/>
  <c r="I760" i="12" s="1"/>
  <c r="L760" i="12" s="1"/>
  <c r="C757" i="12"/>
  <c r="L757" i="12" s="1"/>
  <c r="C754" i="12"/>
  <c r="L754" i="12" s="1"/>
  <c r="C751" i="12"/>
  <c r="L751" i="12" s="1"/>
  <c r="C748" i="12"/>
  <c r="L748" i="12" s="1"/>
  <c r="C747" i="12"/>
  <c r="L747" i="12" s="1"/>
  <c r="C746" i="12"/>
  <c r="P746" i="12" s="1"/>
  <c r="C745" i="12"/>
  <c r="P745" i="12" s="1"/>
  <c r="C744" i="12"/>
  <c r="P744" i="12" s="1"/>
  <c r="C741" i="12"/>
  <c r="L741" i="12" s="1"/>
  <c r="C739" i="12"/>
  <c r="M739" i="12" s="1"/>
  <c r="C737" i="12"/>
  <c r="Q737" i="12" s="1"/>
  <c r="C736" i="12"/>
  <c r="Q736" i="12" s="1"/>
  <c r="C735" i="12"/>
  <c r="P735" i="12" s="1"/>
  <c r="C734" i="12"/>
  <c r="P734" i="12" s="1"/>
  <c r="C732" i="12"/>
  <c r="H732" i="12" s="1"/>
  <c r="J732" i="12" s="1"/>
  <c r="P732" i="12" s="1"/>
  <c r="C730" i="12"/>
  <c r="H730" i="12" s="1"/>
  <c r="J730" i="12" s="1"/>
  <c r="P730" i="12" s="1"/>
  <c r="C729" i="12"/>
  <c r="L729" i="12" s="1"/>
  <c r="C727" i="12"/>
  <c r="L727" i="12" s="1"/>
  <c r="C725" i="12"/>
  <c r="L725" i="12" s="1"/>
  <c r="C724" i="12"/>
  <c r="P724" i="12" s="1"/>
  <c r="C723" i="12"/>
  <c r="P723" i="12" s="1"/>
  <c r="C721" i="12"/>
  <c r="L721" i="12" s="1"/>
  <c r="C720" i="12"/>
  <c r="L720" i="12" s="1"/>
  <c r="C719" i="12"/>
  <c r="L719" i="12" s="1"/>
  <c r="C718" i="12"/>
  <c r="L718" i="12" s="1"/>
  <c r="C716" i="12"/>
  <c r="L716" i="12" s="1"/>
  <c r="C715" i="12"/>
  <c r="P715" i="12" s="1"/>
  <c r="C714" i="12"/>
  <c r="L714" i="12" s="1"/>
  <c r="C711" i="12"/>
  <c r="L711" i="12" s="1"/>
  <c r="C710" i="12"/>
  <c r="L710" i="12" s="1"/>
  <c r="C708" i="12"/>
  <c r="L708" i="12" s="1"/>
  <c r="C707" i="12"/>
  <c r="L707" i="12" s="1"/>
  <c r="C706" i="12"/>
  <c r="L706" i="12" s="1"/>
  <c r="C704" i="12"/>
  <c r="L704" i="12" s="1"/>
  <c r="C702" i="12"/>
  <c r="L702" i="12" s="1"/>
  <c r="C700" i="12"/>
  <c r="L700" i="12" s="1"/>
  <c r="C698" i="12"/>
  <c r="L698" i="12" s="1"/>
  <c r="C695" i="12"/>
  <c r="L695" i="12" s="1"/>
  <c r="C693" i="12"/>
  <c r="L693" i="12" s="1"/>
  <c r="C691" i="12"/>
  <c r="L691" i="12" s="1"/>
  <c r="C689" i="12"/>
  <c r="L689" i="12" s="1"/>
  <c r="C687" i="12"/>
  <c r="C671" i="12"/>
  <c r="H671" i="12" s="1"/>
  <c r="I671" i="12" s="1"/>
  <c r="C670" i="12"/>
  <c r="P670" i="12" s="1"/>
  <c r="C669" i="12"/>
  <c r="P669" i="12" s="1"/>
  <c r="C668" i="12"/>
  <c r="P668" i="12" s="1"/>
  <c r="C666" i="12"/>
  <c r="L666" i="12" s="1"/>
  <c r="C663" i="12"/>
  <c r="L663" i="12" s="1"/>
  <c r="C660" i="12"/>
  <c r="L660" i="12" s="1"/>
  <c r="C657" i="12"/>
  <c r="L657" i="12" s="1"/>
  <c r="C655" i="12"/>
  <c r="P655" i="12" s="1"/>
  <c r="C653" i="12"/>
  <c r="L653" i="12" s="1"/>
  <c r="C651" i="12"/>
  <c r="M651" i="12" s="1"/>
  <c r="C649" i="12"/>
  <c r="L649" i="12" s="1"/>
  <c r="C648" i="12"/>
  <c r="H648" i="12" s="1"/>
  <c r="C647" i="12"/>
  <c r="L647" i="12" s="1"/>
  <c r="C646" i="12"/>
  <c r="L646" i="12" s="1"/>
  <c r="C645" i="12"/>
  <c r="L645" i="12" s="1"/>
  <c r="C644" i="12"/>
  <c r="Q644" i="12" s="1"/>
  <c r="C643" i="12"/>
  <c r="L643" i="12" s="1"/>
  <c r="C642" i="12"/>
  <c r="P642" i="12" s="1"/>
  <c r="C641" i="12"/>
  <c r="P641" i="12" s="1"/>
  <c r="C640" i="12"/>
  <c r="P640" i="12" s="1"/>
  <c r="C639" i="12"/>
  <c r="L639" i="12" s="1"/>
  <c r="C638" i="12"/>
  <c r="L638" i="12" s="1"/>
  <c r="C637" i="12"/>
  <c r="L637" i="12" s="1"/>
  <c r="C636" i="12"/>
  <c r="L636" i="12" s="1"/>
  <c r="C635" i="12"/>
  <c r="Q635" i="12" s="1"/>
  <c r="C634" i="12"/>
  <c r="P634" i="12" s="1"/>
  <c r="C633" i="12"/>
  <c r="L633" i="12" s="1"/>
  <c r="C631" i="12"/>
  <c r="L631" i="12" s="1"/>
  <c r="C629" i="12"/>
  <c r="M629" i="12" s="1"/>
  <c r="C627" i="12"/>
  <c r="P627" i="12" s="1"/>
  <c r="C624" i="12"/>
  <c r="L624" i="12" s="1"/>
  <c r="C620" i="12"/>
  <c r="L620" i="12" s="1"/>
  <c r="C618" i="12"/>
  <c r="P618" i="12" s="1"/>
  <c r="C616" i="12"/>
  <c r="P616" i="12" s="1"/>
  <c r="C613" i="12"/>
  <c r="L613" i="12" s="1"/>
  <c r="C611" i="12"/>
  <c r="L611" i="12" s="1"/>
  <c r="C610" i="12"/>
  <c r="L610" i="12" s="1"/>
  <c r="C608" i="12"/>
  <c r="P608" i="12" s="1"/>
  <c r="C606" i="12"/>
  <c r="L606" i="12" s="1"/>
  <c r="C604" i="12"/>
  <c r="L604" i="12" s="1"/>
  <c r="C602" i="12"/>
  <c r="L602" i="12" s="1"/>
  <c r="C601" i="12"/>
  <c r="L601" i="12" s="1"/>
  <c r="C599" i="12"/>
  <c r="L599" i="12" s="1"/>
  <c r="C597" i="12"/>
  <c r="P597" i="12" s="1"/>
  <c r="C595" i="12"/>
  <c r="L595" i="12" s="1"/>
  <c r="C593" i="12"/>
  <c r="L593" i="12" s="1"/>
  <c r="C592" i="12"/>
  <c r="L592" i="12" s="1"/>
  <c r="C590" i="12"/>
  <c r="L590" i="12" s="1"/>
  <c r="C588" i="12"/>
  <c r="L588" i="12" s="1"/>
  <c r="C586" i="12"/>
  <c r="L586" i="12" s="1"/>
  <c r="C584" i="12"/>
  <c r="L584" i="12" s="1"/>
  <c r="C582" i="12"/>
  <c r="L582" i="12" s="1"/>
  <c r="C580" i="12"/>
  <c r="C505" i="12"/>
  <c r="L505" i="12" s="1"/>
  <c r="C506" i="12"/>
  <c r="H506" i="12" s="1"/>
  <c r="J506" i="12" s="1"/>
  <c r="P506" i="12" s="1"/>
  <c r="C513" i="12"/>
  <c r="L513" i="12" s="1"/>
  <c r="C514" i="12"/>
  <c r="H514" i="12" s="1"/>
  <c r="J514" i="12" s="1"/>
  <c r="P514" i="12" s="1"/>
  <c r="C368" i="12"/>
  <c r="H368" i="12" s="1"/>
  <c r="J368" i="12" s="1"/>
  <c r="C380" i="12"/>
  <c r="H380" i="12" s="1"/>
  <c r="J380" i="12" s="1"/>
  <c r="P380" i="12" s="1"/>
  <c r="C540" i="12"/>
  <c r="H540" i="12" s="1"/>
  <c r="J540" i="12" s="1"/>
  <c r="P540" i="12" s="1"/>
  <c r="C542" i="12"/>
  <c r="L542" i="12" s="1"/>
  <c r="D541" i="12"/>
  <c r="C539" i="12"/>
  <c r="L539" i="12" s="1"/>
  <c r="C515" i="12"/>
  <c r="L515" i="12" s="1"/>
  <c r="C507" i="12"/>
  <c r="L507" i="12" s="1"/>
  <c r="D494" i="12"/>
  <c r="C494" i="12" s="1"/>
  <c r="L494" i="12" s="1"/>
  <c r="C495" i="12"/>
  <c r="C476" i="12"/>
  <c r="L476" i="12" s="1"/>
  <c r="C466" i="12"/>
  <c r="L466" i="12" s="1"/>
  <c r="C464" i="12"/>
  <c r="L464" i="12" s="1"/>
  <c r="C563" i="12"/>
  <c r="P563" i="12" s="1"/>
  <c r="C560" i="12"/>
  <c r="L560" i="12" s="1"/>
  <c r="C557" i="12"/>
  <c r="L557" i="12" s="1"/>
  <c r="C554" i="12"/>
  <c r="L554" i="12" s="1"/>
  <c r="C551" i="12"/>
  <c r="L551" i="12" s="1"/>
  <c r="C548" i="12"/>
  <c r="L548" i="12" s="1"/>
  <c r="C547" i="12"/>
  <c r="Q547" i="12" s="1"/>
  <c r="C546" i="12"/>
  <c r="P546" i="12" s="1"/>
  <c r="C545" i="12"/>
  <c r="L545" i="12" s="1"/>
  <c r="C544" i="12"/>
  <c r="L544" i="12" s="1"/>
  <c r="C543" i="12"/>
  <c r="P543" i="12" s="1"/>
  <c r="C541" i="12"/>
  <c r="L541" i="12" s="1"/>
  <c r="C538" i="12"/>
  <c r="P538" i="12" s="1"/>
  <c r="C536" i="12"/>
  <c r="P536" i="12" s="1"/>
  <c r="C533" i="12"/>
  <c r="L533" i="12" s="1"/>
  <c r="C530" i="12"/>
  <c r="L530" i="12" s="1"/>
  <c r="C527" i="12"/>
  <c r="L527" i="12" s="1"/>
  <c r="C525" i="12"/>
  <c r="L525" i="12" s="1"/>
  <c r="C523" i="12"/>
  <c r="M523" i="12" s="1"/>
  <c r="C522" i="12"/>
  <c r="P522" i="12" s="1"/>
  <c r="C521" i="12"/>
  <c r="L521" i="12" s="1"/>
  <c r="C520" i="12"/>
  <c r="L520" i="12" s="1"/>
  <c r="C519" i="12"/>
  <c r="P519" i="12" s="1"/>
  <c r="C518" i="12"/>
  <c r="L518" i="12" s="1"/>
  <c r="C517" i="12"/>
  <c r="Q517" i="12" s="1"/>
  <c r="C512" i="12"/>
  <c r="L512" i="12" s="1"/>
  <c r="C511" i="12"/>
  <c r="P511" i="12" s="1"/>
  <c r="C510" i="12"/>
  <c r="L510" i="12" s="1"/>
  <c r="C508" i="12"/>
  <c r="L508" i="12" s="1"/>
  <c r="C503" i="12"/>
  <c r="Q503" i="12" s="1"/>
  <c r="C501" i="12"/>
  <c r="Q501" i="12" s="1"/>
  <c r="C499" i="12"/>
  <c r="P499" i="12" s="1"/>
  <c r="C498" i="12"/>
  <c r="P498" i="12" s="1"/>
  <c r="C497" i="12"/>
  <c r="L497" i="12" s="1"/>
  <c r="C496" i="12"/>
  <c r="P496" i="12" s="1"/>
  <c r="C493" i="12"/>
  <c r="P493" i="12" s="1"/>
  <c r="C492" i="12"/>
  <c r="L492" i="12" s="1"/>
  <c r="C491" i="12"/>
  <c r="L491" i="12" s="1"/>
  <c r="C490" i="12"/>
  <c r="P490" i="12" s="1"/>
  <c r="C488" i="12"/>
  <c r="P488" i="12" s="1"/>
  <c r="C485" i="12"/>
  <c r="L485" i="12" s="1"/>
  <c r="C482" i="12"/>
  <c r="L482" i="12" s="1"/>
  <c r="C479" i="12"/>
  <c r="L479" i="12" s="1"/>
  <c r="C477" i="12"/>
  <c r="L477" i="12" s="1"/>
  <c r="C474" i="12"/>
  <c r="L474" i="12" s="1"/>
  <c r="C472" i="12"/>
  <c r="L472" i="12" s="1"/>
  <c r="C470" i="12"/>
  <c r="L470" i="12" s="1"/>
  <c r="C468" i="12"/>
  <c r="P468" i="12" s="1"/>
  <c r="C463" i="12"/>
  <c r="L463" i="12" s="1"/>
  <c r="C461" i="12"/>
  <c r="L461" i="12" s="1"/>
  <c r="C459" i="12"/>
  <c r="L459" i="12" s="1"/>
  <c r="C457" i="12"/>
  <c r="L457" i="12" s="1"/>
  <c r="C455" i="12"/>
  <c r="L455" i="12" s="1"/>
  <c r="C453" i="12"/>
  <c r="L453" i="12" s="1"/>
  <c r="L529" i="11" l="1"/>
  <c r="M672" i="12"/>
  <c r="L687" i="12"/>
  <c r="C761" i="12"/>
  <c r="J648" i="12"/>
  <c r="H672" i="12"/>
  <c r="L671" i="12"/>
  <c r="I672" i="12"/>
  <c r="L580" i="12"/>
  <c r="C672" i="12"/>
  <c r="Q672" i="12"/>
  <c r="S167" i="11"/>
  <c r="C565" i="12"/>
  <c r="P495" i="12"/>
  <c r="H495" i="12"/>
  <c r="J495" i="12" s="1"/>
  <c r="P368" i="12"/>
  <c r="C437" i="12"/>
  <c r="L437" i="12" s="1"/>
  <c r="C436" i="12"/>
  <c r="L436" i="12" s="1"/>
  <c r="C427" i="12"/>
  <c r="L427" i="12" s="1"/>
  <c r="C424" i="12"/>
  <c r="L424" i="12" s="1"/>
  <c r="C412" i="12"/>
  <c r="L412" i="12" s="1"/>
  <c r="C408" i="12"/>
  <c r="L408" i="12" s="1"/>
  <c r="C389" i="12"/>
  <c r="L389" i="12" s="1"/>
  <c r="D379" i="12"/>
  <c r="C379" i="12" s="1"/>
  <c r="L379" i="12" s="1"/>
  <c r="C378" i="12"/>
  <c r="L378" i="12" s="1"/>
  <c r="C374" i="12"/>
  <c r="L374" i="12" s="1"/>
  <c r="C370" i="12"/>
  <c r="L370" i="12" s="1"/>
  <c r="C367" i="12"/>
  <c r="L367" i="12" s="1"/>
  <c r="C363" i="12"/>
  <c r="L363" i="12" s="1"/>
  <c r="C361" i="12"/>
  <c r="L361" i="12" s="1"/>
  <c r="C365" i="12"/>
  <c r="L365" i="12" s="1"/>
  <c r="C372" i="12"/>
  <c r="L372" i="12" s="1"/>
  <c r="C422" i="12"/>
  <c r="L422" i="12" s="1"/>
  <c r="C438" i="12"/>
  <c r="L438" i="12" s="1"/>
  <c r="C434" i="12"/>
  <c r="P434" i="12" s="1"/>
  <c r="C432" i="12"/>
  <c r="P432" i="12" s="1"/>
  <c r="C430" i="12"/>
  <c r="P430" i="12" s="1"/>
  <c r="C419" i="12"/>
  <c r="L419" i="12" s="1"/>
  <c r="C416" i="12"/>
  <c r="L416" i="12" s="1"/>
  <c r="C414" i="12"/>
  <c r="M414" i="12" s="1"/>
  <c r="M448" i="12" s="1"/>
  <c r="C410" i="12"/>
  <c r="L410" i="12" s="1"/>
  <c r="C407" i="12"/>
  <c r="L407" i="12" s="1"/>
  <c r="C406" i="12"/>
  <c r="L406" i="12" s="1"/>
  <c r="C405" i="12"/>
  <c r="P405" i="12" s="1"/>
  <c r="C402" i="12"/>
  <c r="L402" i="12" s="1"/>
  <c r="C401" i="12"/>
  <c r="L401" i="12" s="1"/>
  <c r="C400" i="12"/>
  <c r="Q400" i="12" s="1"/>
  <c r="C399" i="12"/>
  <c r="Q399" i="12" s="1"/>
  <c r="C398" i="12"/>
  <c r="P398" i="12" s="1"/>
  <c r="C397" i="12"/>
  <c r="P397" i="12" s="1"/>
  <c r="C396" i="12"/>
  <c r="P396" i="12" s="1"/>
  <c r="C395" i="12"/>
  <c r="L395" i="12" s="1"/>
  <c r="C393" i="12"/>
  <c r="P393" i="12" s="1"/>
  <c r="C391" i="12"/>
  <c r="L391" i="12" s="1"/>
  <c r="C388" i="12"/>
  <c r="P388" i="12" s="1"/>
  <c r="C387" i="12"/>
  <c r="P387" i="12" s="1"/>
  <c r="C385" i="12"/>
  <c r="L385" i="12" s="1"/>
  <c r="C384" i="12"/>
  <c r="L384" i="12" s="1"/>
  <c r="C382" i="12"/>
  <c r="L382" i="12" s="1"/>
  <c r="C381" i="12"/>
  <c r="L381" i="12" s="1"/>
  <c r="C376" i="12"/>
  <c r="L376" i="12" s="1"/>
  <c r="L359" i="12"/>
  <c r="C59" i="12"/>
  <c r="L59" i="12" s="1"/>
  <c r="C61" i="12"/>
  <c r="L61" i="12" s="1"/>
  <c r="C56" i="12"/>
  <c r="L56" i="12" s="1"/>
  <c r="C20" i="12"/>
  <c r="L20" i="12" s="1"/>
  <c r="C67" i="12"/>
  <c r="L67" i="12" s="1"/>
  <c r="C65" i="12"/>
  <c r="L65" i="12" s="1"/>
  <c r="C202" i="12"/>
  <c r="L202" i="12" s="1"/>
  <c r="C200" i="12"/>
  <c r="L200" i="12" s="1"/>
  <c r="C198" i="12"/>
  <c r="L198" i="12" s="1"/>
  <c r="C145" i="12"/>
  <c r="L145" i="12" s="1"/>
  <c r="C148" i="12"/>
  <c r="L148" i="12" s="1"/>
  <c r="C141" i="12"/>
  <c r="L141" i="12" s="1"/>
  <c r="C305" i="12"/>
  <c r="L305" i="12" s="1"/>
  <c r="C303" i="12"/>
  <c r="L303" i="12" s="1"/>
  <c r="C301" i="12"/>
  <c r="L301" i="12" s="1"/>
  <c r="D300" i="12"/>
  <c r="C300" i="12" s="1"/>
  <c r="L300" i="12" s="1"/>
  <c r="D295" i="12"/>
  <c r="C295" i="12" s="1"/>
  <c r="L295" i="12" s="1"/>
  <c r="C297" i="12"/>
  <c r="L297" i="12" s="1"/>
  <c r="C296" i="12"/>
  <c r="L296" i="12" s="1"/>
  <c r="C310" i="12"/>
  <c r="P310" i="12" s="1"/>
  <c r="C312" i="12"/>
  <c r="L312" i="12" s="1"/>
  <c r="C314" i="12"/>
  <c r="L314" i="12" s="1"/>
  <c r="C316" i="12"/>
  <c r="L316" i="12" s="1"/>
  <c r="C282" i="12"/>
  <c r="L282" i="12" s="1"/>
  <c r="C278" i="12"/>
  <c r="L278" i="12" s="1"/>
  <c r="C270" i="12"/>
  <c r="P270" i="12" s="1"/>
  <c r="C266" i="12"/>
  <c r="L266" i="12" s="1"/>
  <c r="C264" i="12"/>
  <c r="L264" i="12" s="1"/>
  <c r="C308" i="12"/>
  <c r="L308" i="12" s="1"/>
  <c r="C307" i="12"/>
  <c r="L307" i="12" s="1"/>
  <c r="C299" i="12"/>
  <c r="P299" i="12" s="1"/>
  <c r="C298" i="12"/>
  <c r="P298" i="12" s="1"/>
  <c r="C294" i="12"/>
  <c r="L294" i="12" s="1"/>
  <c r="C293" i="12"/>
  <c r="L293" i="12" s="1"/>
  <c r="C291" i="12"/>
  <c r="L291" i="12" s="1"/>
  <c r="C289" i="12"/>
  <c r="L289" i="12" s="1"/>
  <c r="C287" i="12"/>
  <c r="P287" i="12" s="1"/>
  <c r="C286" i="12"/>
  <c r="L286" i="12" s="1"/>
  <c r="C284" i="12"/>
  <c r="P284" i="12" s="1"/>
  <c r="C280" i="12"/>
  <c r="M280" i="12" s="1"/>
  <c r="M344" i="12" s="1"/>
  <c r="C276" i="12"/>
  <c r="L276" i="12" s="1"/>
  <c r="C274" i="12"/>
  <c r="L274" i="12" s="1"/>
  <c r="C272" i="12"/>
  <c r="C268" i="12"/>
  <c r="P268" i="12" s="1"/>
  <c r="L672" i="12" l="1"/>
  <c r="P648" i="12"/>
  <c r="P672" i="12" s="1"/>
  <c r="J672" i="12"/>
  <c r="Q272" i="12"/>
  <c r="Q344" i="12" s="1"/>
  <c r="J344" i="12"/>
  <c r="H344" i="12"/>
  <c r="C344" i="12"/>
  <c r="J448" i="12"/>
  <c r="C448" i="12"/>
  <c r="Q448" i="12"/>
  <c r="P448" i="12"/>
  <c r="P344" i="12"/>
  <c r="C191" i="12"/>
  <c r="L191" i="12" s="1"/>
  <c r="C189" i="12"/>
  <c r="L189" i="12" s="1"/>
  <c r="C183" i="12"/>
  <c r="L183" i="12" s="1"/>
  <c r="C185" i="12"/>
  <c r="L185" i="12" s="1"/>
  <c r="C187" i="12"/>
  <c r="L187" i="12" s="1"/>
  <c r="C190" i="12"/>
  <c r="L190" i="12" s="1"/>
  <c r="C192" i="12"/>
  <c r="P192" i="12" s="1"/>
  <c r="C194" i="12"/>
  <c r="P194" i="12" s="1"/>
  <c r="C196" i="12"/>
  <c r="L196" i="12" s="1"/>
  <c r="D160" i="12"/>
  <c r="C160" i="12" s="1"/>
  <c r="L160" i="12" s="1"/>
  <c r="C159" i="12"/>
  <c r="L159" i="12" s="1"/>
  <c r="C155" i="12"/>
  <c r="L155" i="12" s="1"/>
  <c r="C150" i="12"/>
  <c r="L150" i="12" s="1"/>
  <c r="C147" i="12"/>
  <c r="L147" i="12" s="1"/>
  <c r="C143" i="12"/>
  <c r="L143" i="12" s="1"/>
  <c r="C204" i="12"/>
  <c r="L204" i="12" s="1"/>
  <c r="C181" i="12"/>
  <c r="L181" i="12" s="1"/>
  <c r="C179" i="12"/>
  <c r="L179" i="12" s="1"/>
  <c r="C177" i="12"/>
  <c r="L177" i="12" s="1"/>
  <c r="C175" i="12"/>
  <c r="L175" i="12" s="1"/>
  <c r="C173" i="12"/>
  <c r="L173" i="12" s="1"/>
  <c r="C171" i="12"/>
  <c r="L171" i="12" s="1"/>
  <c r="C169" i="12"/>
  <c r="L169" i="12" s="1"/>
  <c r="C167" i="12"/>
  <c r="Q167" i="12" s="1"/>
  <c r="C166" i="12"/>
  <c r="L166" i="12" s="1"/>
  <c r="C165" i="12"/>
  <c r="P165" i="12" s="1"/>
  <c r="C164" i="12"/>
  <c r="L164" i="12" s="1"/>
  <c r="C163" i="12"/>
  <c r="Q163" i="12" s="1"/>
  <c r="Q249" i="12" s="1"/>
  <c r="C161" i="12"/>
  <c r="L161" i="12" s="1"/>
  <c r="C157" i="12"/>
  <c r="L157" i="12" s="1"/>
  <c r="C156" i="12"/>
  <c r="L156" i="12" s="1"/>
  <c r="C154" i="12"/>
  <c r="L154" i="12" s="1"/>
  <c r="C153" i="12"/>
  <c r="L153" i="12" s="1"/>
  <c r="C152" i="12"/>
  <c r="L152" i="12" s="1"/>
  <c r="C139" i="12"/>
  <c r="C249" i="12" l="1"/>
  <c r="P249" i="12"/>
  <c r="L139" i="12"/>
  <c r="L249" i="12" s="1"/>
  <c r="I344" i="12"/>
  <c r="H448" i="12"/>
  <c r="H12" i="31"/>
  <c r="L12" i="31" s="1"/>
  <c r="U12" i="31" s="1"/>
  <c r="U14" i="31" l="1"/>
  <c r="L344" i="12"/>
  <c r="L448" i="12"/>
  <c r="I448" i="12"/>
  <c r="V43" i="11"/>
  <c r="V31" i="11"/>
  <c r="V24" i="11"/>
  <c r="V23" i="11"/>
  <c r="V20" i="11"/>
  <c r="V21" i="11"/>
  <c r="V19" i="11"/>
  <c r="U46" i="11"/>
  <c r="U40" i="11"/>
  <c r="U39" i="11"/>
  <c r="U38" i="11"/>
  <c r="U37" i="11"/>
  <c r="U36" i="11"/>
  <c r="U35" i="11"/>
  <c r="U34" i="11"/>
  <c r="U33" i="11"/>
  <c r="U30" i="11"/>
  <c r="U29" i="11"/>
  <c r="U28" i="11"/>
  <c r="U27" i="11"/>
  <c r="U26" i="11"/>
  <c r="U25" i="11"/>
  <c r="U22" i="11"/>
  <c r="U17" i="11"/>
  <c r="U18" i="11"/>
  <c r="U15" i="11"/>
  <c r="P387" i="13"/>
  <c r="L47" i="13"/>
  <c r="K46" i="13"/>
  <c r="P45" i="13"/>
  <c r="Q45" i="13"/>
  <c r="I45" i="13"/>
  <c r="Q44" i="13"/>
  <c r="P44" i="13"/>
  <c r="J44" i="13"/>
  <c r="P40" i="13"/>
  <c r="Q40" i="13"/>
  <c r="P41" i="13"/>
  <c r="Q41" i="13"/>
  <c r="I40" i="13"/>
  <c r="I41" i="13"/>
  <c r="Q39" i="13"/>
  <c r="P39" i="13"/>
  <c r="I39" i="13"/>
  <c r="L38" i="13"/>
  <c r="P36" i="13"/>
  <c r="Q36" i="13"/>
  <c r="P37" i="13"/>
  <c r="Q37" i="13"/>
  <c r="I36" i="13"/>
  <c r="I37" i="13"/>
  <c r="P35" i="13"/>
  <c r="Q35" i="13"/>
  <c r="I35" i="13"/>
  <c r="P34" i="13"/>
  <c r="Q34" i="13"/>
  <c r="I34" i="13"/>
  <c r="P33" i="13"/>
  <c r="Q33" i="13"/>
  <c r="J33" i="13"/>
  <c r="P32" i="13"/>
  <c r="Q32" i="13"/>
  <c r="J32" i="13"/>
  <c r="P31" i="13"/>
  <c r="Q31" i="13"/>
  <c r="I31" i="13"/>
  <c r="P30" i="13"/>
  <c r="Q30" i="13"/>
  <c r="I30" i="13"/>
  <c r="Q29" i="13"/>
  <c r="P29" i="13"/>
  <c r="I29" i="13"/>
  <c r="P27" i="13"/>
  <c r="Q27" i="13"/>
  <c r="I27" i="13"/>
  <c r="Q26" i="13"/>
  <c r="P26" i="13"/>
  <c r="I26" i="13"/>
  <c r="Q25" i="13"/>
  <c r="P25" i="13"/>
  <c r="Q24" i="13"/>
  <c r="P24" i="13"/>
  <c r="J25" i="13"/>
  <c r="J24" i="13"/>
  <c r="L23" i="13"/>
  <c r="Q21" i="13"/>
  <c r="Q22" i="13"/>
  <c r="P21" i="13"/>
  <c r="P22" i="13"/>
  <c r="J21" i="13"/>
  <c r="J22" i="13"/>
  <c r="Q20" i="13"/>
  <c r="P20" i="13"/>
  <c r="P19" i="13"/>
  <c r="P18" i="13"/>
  <c r="P16" i="13"/>
  <c r="J20" i="13"/>
  <c r="Q19" i="13"/>
  <c r="I19" i="13"/>
  <c r="Q18" i="13"/>
  <c r="I18" i="13"/>
  <c r="Q42" i="13"/>
  <c r="I42" i="13"/>
  <c r="K43" i="13"/>
  <c r="Q16" i="13"/>
  <c r="I16" i="13"/>
  <c r="Q387" i="13"/>
  <c r="K17" i="13"/>
  <c r="K89" i="13" s="1"/>
  <c r="G17" i="11"/>
  <c r="G18" i="11"/>
  <c r="H18" i="11" s="1"/>
  <c r="S18" i="11" s="1"/>
  <c r="G19" i="11"/>
  <c r="H19" i="11" s="1"/>
  <c r="R19" i="11" s="1"/>
  <c r="G20" i="11"/>
  <c r="H20" i="11" s="1"/>
  <c r="R20" i="11" s="1"/>
  <c r="G21" i="11"/>
  <c r="H21" i="11" s="1"/>
  <c r="R21" i="11" s="1"/>
  <c r="G22" i="11"/>
  <c r="H22" i="11" s="1"/>
  <c r="S22" i="11" s="1"/>
  <c r="G23" i="11"/>
  <c r="H23" i="11" s="1"/>
  <c r="R23" i="11" s="1"/>
  <c r="G24" i="11"/>
  <c r="H24" i="11" s="1"/>
  <c r="R24" i="11" s="1"/>
  <c r="G25" i="11"/>
  <c r="H25" i="11" s="1"/>
  <c r="S25" i="11" s="1"/>
  <c r="G26" i="11"/>
  <c r="H26" i="11" s="1"/>
  <c r="S26" i="11" s="1"/>
  <c r="G27" i="11"/>
  <c r="H27" i="11" s="1"/>
  <c r="G28" i="11"/>
  <c r="H28" i="11" s="1"/>
  <c r="S28" i="11" s="1"/>
  <c r="G29" i="11"/>
  <c r="H29" i="11" s="1"/>
  <c r="S29" i="11" s="1"/>
  <c r="G30" i="11"/>
  <c r="H30" i="11" s="1"/>
  <c r="S30" i="11" s="1"/>
  <c r="G31" i="11"/>
  <c r="H31" i="11" s="1"/>
  <c r="R31" i="11" s="1"/>
  <c r="G32" i="11"/>
  <c r="H32" i="11" s="1"/>
  <c r="Q32" i="11" s="1"/>
  <c r="Q88" i="11" s="1"/>
  <c r="G33" i="11"/>
  <c r="H33" i="11" s="1"/>
  <c r="S33" i="11" s="1"/>
  <c r="G34" i="11"/>
  <c r="H34" i="11" s="1"/>
  <c r="S34" i="11" s="1"/>
  <c r="G35" i="11"/>
  <c r="H35" i="11" s="1"/>
  <c r="S35" i="11" s="1"/>
  <c r="G36" i="11"/>
  <c r="H36" i="11" s="1"/>
  <c r="S36" i="11" s="1"/>
  <c r="G37" i="11"/>
  <c r="H37" i="11" s="1"/>
  <c r="S37" i="11" s="1"/>
  <c r="G38" i="11"/>
  <c r="H38" i="11" s="1"/>
  <c r="S38" i="11" s="1"/>
  <c r="G39" i="11"/>
  <c r="H39" i="11" s="1"/>
  <c r="S39" i="11" s="1"/>
  <c r="G40" i="11"/>
  <c r="H40" i="11" s="1"/>
  <c r="S40" i="11" s="1"/>
  <c r="G41" i="11"/>
  <c r="H41" i="11" s="1"/>
  <c r="S41" i="11" s="1"/>
  <c r="G43" i="11"/>
  <c r="H43" i="11" s="1"/>
  <c r="R43" i="11" s="1"/>
  <c r="G46" i="11"/>
  <c r="H46" i="11" s="1"/>
  <c r="S46" i="11" s="1"/>
  <c r="G15" i="11"/>
  <c r="U41" i="11"/>
  <c r="C31" i="12"/>
  <c r="P31" i="12" s="1"/>
  <c r="C55" i="12"/>
  <c r="L55" i="12" s="1"/>
  <c r="C58" i="12"/>
  <c r="H58" i="12" s="1"/>
  <c r="C25" i="12"/>
  <c r="P25" i="12" s="1"/>
  <c r="C22" i="12"/>
  <c r="C24" i="12"/>
  <c r="L24" i="12" s="1"/>
  <c r="C26" i="12"/>
  <c r="P26" i="12" s="1"/>
  <c r="C27" i="12"/>
  <c r="P27" i="12" s="1"/>
  <c r="C28" i="12"/>
  <c r="L28" i="12" s="1"/>
  <c r="C30" i="12"/>
  <c r="P30" i="12" s="1"/>
  <c r="C32" i="12"/>
  <c r="L32" i="12" s="1"/>
  <c r="C34" i="12"/>
  <c r="L34" i="12" s="1"/>
  <c r="C36" i="12"/>
  <c r="M36" i="12" s="1"/>
  <c r="M126" i="12" s="1"/>
  <c r="C37" i="12"/>
  <c r="L37" i="12" s="1"/>
  <c r="C38" i="12"/>
  <c r="L38" i="12" s="1"/>
  <c r="C40" i="12"/>
  <c r="L40" i="12" s="1"/>
  <c r="C42" i="12"/>
  <c r="P42" i="12" s="1"/>
  <c r="C43" i="12"/>
  <c r="C44" i="12"/>
  <c r="L44" i="12" s="1"/>
  <c r="C45" i="12"/>
  <c r="L45" i="12" s="1"/>
  <c r="C47" i="12"/>
  <c r="L47" i="12" s="1"/>
  <c r="C49" i="12"/>
  <c r="L49" i="12" s="1"/>
  <c r="C51" i="12"/>
  <c r="L51" i="12" s="1"/>
  <c r="C52" i="12"/>
  <c r="L52" i="12" s="1"/>
  <c r="C53" i="12"/>
  <c r="L53" i="12" s="1"/>
  <c r="C54" i="12"/>
  <c r="L54" i="12" s="1"/>
  <c r="C63" i="12"/>
  <c r="L63" i="12" s="1"/>
  <c r="L19" i="12"/>
  <c r="H125" i="28"/>
  <c r="L125" i="28" s="1"/>
  <c r="T125" i="28" s="1"/>
  <c r="H128" i="28"/>
  <c r="H127" i="28"/>
  <c r="H126" i="28"/>
  <c r="H124" i="28"/>
  <c r="L124" i="28" s="1"/>
  <c r="T124" i="28" s="1"/>
  <c r="H123" i="28"/>
  <c r="L123" i="28" s="1"/>
  <c r="T123" i="28" s="1"/>
  <c r="H92" i="28"/>
  <c r="H91" i="28"/>
  <c r="H90" i="28"/>
  <c r="H89" i="28"/>
  <c r="H88" i="28"/>
  <c r="H139" i="28"/>
  <c r="L139" i="28" s="1"/>
  <c r="T139" i="28" s="1"/>
  <c r="H138" i="28"/>
  <c r="L138" i="28" s="1"/>
  <c r="T138" i="28" s="1"/>
  <c r="H137" i="28"/>
  <c r="L137" i="28" s="1"/>
  <c r="T137" i="28" s="1"/>
  <c r="H136" i="28"/>
  <c r="L136" i="28" s="1"/>
  <c r="T136" i="28" s="1"/>
  <c r="H15" i="28"/>
  <c r="L15" i="28" s="1"/>
  <c r="T15" i="28" s="1"/>
  <c r="H12" i="28"/>
  <c r="L12" i="28" s="1"/>
  <c r="T12" i="28" s="1"/>
  <c r="T21" i="28" l="1"/>
  <c r="L89" i="13"/>
  <c r="J89" i="13"/>
  <c r="Q89" i="13"/>
  <c r="Q560" i="13" s="1"/>
  <c r="I89" i="13"/>
  <c r="U88" i="11"/>
  <c r="R88" i="11"/>
  <c r="G88" i="11"/>
  <c r="V88" i="11"/>
  <c r="J58" i="12"/>
  <c r="H126" i="12"/>
  <c r="L22" i="12"/>
  <c r="L126" i="12" s="1"/>
  <c r="C126" i="12"/>
  <c r="Q43" i="12"/>
  <c r="Q126" i="12" s="1"/>
  <c r="L128" i="28"/>
  <c r="T128" i="28" s="1"/>
  <c r="L127" i="28"/>
  <c r="T127" i="28" s="1"/>
  <c r="L126" i="28"/>
  <c r="T126" i="28" s="1"/>
  <c r="T161" i="28"/>
  <c r="M88" i="28"/>
  <c r="T88" i="28" s="1"/>
  <c r="M89" i="28"/>
  <c r="T89" i="28" s="1"/>
  <c r="M90" i="28"/>
  <c r="T90" i="28" s="1"/>
  <c r="M91" i="28"/>
  <c r="T91" i="28" s="1"/>
  <c r="M92" i="28"/>
  <c r="T92" i="28" s="1"/>
  <c r="H17" i="11"/>
  <c r="H15" i="11"/>
  <c r="S27" i="11"/>
  <c r="P27" i="11"/>
  <c r="P88" i="11" s="1"/>
  <c r="P42" i="13"/>
  <c r="P89" i="13" s="1"/>
  <c r="P560" i="13" s="1"/>
  <c r="H88" i="11" l="1"/>
  <c r="P58" i="12"/>
  <c r="P126" i="12" s="1"/>
  <c r="J126" i="12"/>
  <c r="T129" i="28"/>
  <c r="T93" i="28"/>
  <c r="S17" i="11"/>
  <c r="S15" i="11"/>
  <c r="D47" i="21"/>
  <c r="D49" i="21"/>
  <c r="D50" i="21"/>
  <c r="D43" i="21"/>
  <c r="S131" i="21"/>
  <c r="S132" i="21" s="1"/>
  <c r="S142" i="21" s="1"/>
  <c r="R127" i="21"/>
  <c r="S127" i="21"/>
  <c r="C104" i="21"/>
  <c r="C110" i="21" s="1"/>
  <c r="S109" i="21"/>
  <c r="S107" i="21"/>
  <c r="S104" i="21"/>
  <c r="R100" i="21"/>
  <c r="S97" i="21"/>
  <c r="S100" i="21" s="1"/>
  <c r="C92" i="21"/>
  <c r="S65" i="21"/>
  <c r="S67" i="21"/>
  <c r="S77" i="21"/>
  <c r="S85" i="21"/>
  <c r="S92" i="21"/>
  <c r="S86" i="21"/>
  <c r="S61" i="21"/>
  <c r="T50" i="21"/>
  <c r="T49" i="21"/>
  <c r="T140" i="21" s="1"/>
  <c r="S16" i="21"/>
  <c r="S17" i="21"/>
  <c r="S20" i="21"/>
  <c r="M761" i="12"/>
  <c r="N761" i="12"/>
  <c r="O761" i="12"/>
  <c r="P761" i="12"/>
  <c r="Q761" i="12"/>
  <c r="M565" i="12"/>
  <c r="M826" i="12" s="1"/>
  <c r="N565" i="12"/>
  <c r="O565" i="12"/>
  <c r="P565" i="12"/>
  <c r="Q565" i="12"/>
  <c r="N826" i="12" l="1"/>
  <c r="O826" i="12"/>
  <c r="S88" i="11"/>
  <c r="S12" i="21"/>
  <c r="S39" i="21" s="1"/>
  <c r="S138" i="21" s="1"/>
  <c r="P39" i="21"/>
  <c r="R39" i="21"/>
  <c r="R51" i="21"/>
  <c r="S110" i="21"/>
  <c r="D51" i="21"/>
  <c r="D138" i="21" s="1"/>
  <c r="R93" i="21"/>
  <c r="R110" i="21"/>
  <c r="S93" i="21"/>
  <c r="C93" i="21"/>
  <c r="C140" i="21" s="1"/>
  <c r="T110" i="21"/>
  <c r="T43" i="21"/>
  <c r="T51" i="21" l="1"/>
  <c r="T142" i="21"/>
  <c r="T127" i="21"/>
  <c r="R138" i="21"/>
  <c r="S140" i="21"/>
  <c r="O387" i="13" l="1"/>
  <c r="N387" i="13"/>
  <c r="M387" i="13"/>
  <c r="M560" i="13" s="1"/>
  <c r="L387" i="13"/>
  <c r="L560" i="13" s="1"/>
  <c r="K387" i="13"/>
  <c r="J387" i="13"/>
  <c r="I387" i="13"/>
  <c r="H387" i="13"/>
  <c r="G387" i="13"/>
  <c r="C387" i="13"/>
  <c r="V363" i="11"/>
  <c r="U363" i="11"/>
  <c r="T363" i="11"/>
  <c r="S363" i="11"/>
  <c r="R363" i="11"/>
  <c r="Q363" i="11"/>
  <c r="P363" i="11"/>
  <c r="O363" i="11"/>
  <c r="H363" i="11"/>
  <c r="G363" i="11"/>
  <c r="C363" i="11"/>
  <c r="L761" i="12"/>
  <c r="J761" i="12"/>
  <c r="I761" i="12"/>
  <c r="H761" i="12"/>
  <c r="C826" i="12"/>
  <c r="L565" i="12"/>
  <c r="J565" i="12"/>
  <c r="I565" i="12"/>
  <c r="H565" i="12"/>
  <c r="H826" i="12" s="1"/>
  <c r="K560" i="13" l="1"/>
  <c r="H560" i="13"/>
  <c r="N560" i="13"/>
  <c r="J560" i="13"/>
  <c r="G560" i="13"/>
  <c r="O529" i="11"/>
  <c r="S529" i="11"/>
  <c r="I560" i="13"/>
  <c r="C560" i="13"/>
  <c r="O560" i="13"/>
  <c r="C529" i="11"/>
  <c r="T529" i="11"/>
  <c r="Q529" i="11"/>
  <c r="P529" i="11"/>
  <c r="G529" i="11"/>
  <c r="U529" i="11"/>
  <c r="H529" i="11"/>
  <c r="R529" i="11"/>
  <c r="V529" i="11"/>
  <c r="L826" i="12"/>
  <c r="T39" i="21"/>
  <c r="P809" i="12" l="1"/>
  <c r="P826" i="12" s="1"/>
  <c r="I809" i="12"/>
  <c r="I826" i="12" s="1"/>
  <c r="Q809" i="12"/>
  <c r="Q826" i="12" s="1"/>
  <c r="J809" i="12" l="1"/>
  <c r="J826" i="12" s="1"/>
</calcChain>
</file>

<file path=xl/sharedStrings.xml><?xml version="1.0" encoding="utf-8"?>
<sst xmlns="http://schemas.openxmlformats.org/spreadsheetml/2006/main" count="7768" uniqueCount="888">
  <si>
    <t>QUANTIDADE</t>
  </si>
  <si>
    <t>DESCRIÇÃO</t>
  </si>
  <si>
    <t>ALTURA</t>
  </si>
  <si>
    <t>M2</t>
  </si>
  <si>
    <t>LARGURA</t>
  </si>
  <si>
    <t>ÁREA</t>
  </si>
  <si>
    <t>REPETIÇÃO</t>
  </si>
  <si>
    <t>UNIDADE</t>
  </si>
  <si>
    <t>QUANT. TOTAL</t>
  </si>
  <si>
    <t>(und)</t>
  </si>
  <si>
    <t>(m)</t>
  </si>
  <si>
    <t>(m2)</t>
  </si>
  <si>
    <t>COMPRIMENTO</t>
  </si>
  <si>
    <t>DESC.</t>
  </si>
  <si>
    <t>PESO</t>
  </si>
  <si>
    <t>(kG)</t>
  </si>
  <si>
    <t>AMBIENTES</t>
  </si>
  <si>
    <t>Área
(m2)</t>
  </si>
  <si>
    <t>Perímetro
(m)</t>
  </si>
  <si>
    <t>REP</t>
  </si>
  <si>
    <t>CONTRA PISO</t>
  </si>
  <si>
    <t>REG. DE PISO</t>
  </si>
  <si>
    <t>TOTAIS</t>
  </si>
  <si>
    <t>Ambiente</t>
  </si>
  <si>
    <t>CHAPISCO</t>
  </si>
  <si>
    <t>REBOCO</t>
  </si>
  <si>
    <t>EMBOÇO</t>
  </si>
  <si>
    <t>RESUMO</t>
  </si>
  <si>
    <t>Altura
(m)</t>
  </si>
  <si>
    <t>PAREDES E PAINÉIS</t>
  </si>
  <si>
    <t>PAVIMENTAÇÃO</t>
  </si>
  <si>
    <t>INTERNO</t>
  </si>
  <si>
    <t>REVESTIMENTO</t>
  </si>
  <si>
    <t>TETO</t>
  </si>
  <si>
    <t>INTERNA</t>
  </si>
  <si>
    <t>DESCONTO</t>
  </si>
  <si>
    <t>UNID</t>
  </si>
  <si>
    <t>VERGA</t>
  </si>
  <si>
    <t>PINTURA ESMALTE</t>
  </si>
  <si>
    <t>TOTAL</t>
  </si>
  <si>
    <t>ALTURA/COMP.</t>
  </si>
  <si>
    <t>ESQUADRIAS</t>
  </si>
  <si>
    <t>REP.</t>
  </si>
  <si>
    <t>COBERTA</t>
  </si>
  <si>
    <t>LAJES</t>
  </si>
  <si>
    <t xml:space="preserve">REBOCO </t>
  </si>
  <si>
    <t xml:space="preserve">SOLEIRA EM GRANITO </t>
  </si>
  <si>
    <t xml:space="preserve">PEITORIL EM GRANITO </t>
  </si>
  <si>
    <t>VIDRO</t>
  </si>
  <si>
    <t xml:space="preserve">TÉRREO </t>
  </si>
  <si>
    <t>TÉRREO</t>
  </si>
  <si>
    <t>METALURGIA</t>
  </si>
  <si>
    <t>BANCADAS</t>
  </si>
  <si>
    <t>A1</t>
  </si>
  <si>
    <r>
      <t>DATA: ABRIL</t>
    </r>
    <r>
      <rPr>
        <sz val="11"/>
        <rFont val="Calibri"/>
        <family val="2"/>
      </rPr>
      <t>/2024</t>
    </r>
  </si>
  <si>
    <r>
      <t xml:space="preserve">OBRA: </t>
    </r>
    <r>
      <rPr>
        <sz val="11"/>
        <rFont val="Calibri"/>
        <family val="2"/>
        <scheme val="minor"/>
      </rPr>
      <t>NOVO HOSPITAL UNIVERSITÁRIO UFC - ICM</t>
    </r>
  </si>
  <si>
    <r>
      <t xml:space="preserve">LOCAL: </t>
    </r>
    <r>
      <rPr>
        <sz val="11"/>
        <rFont val="Calibri"/>
        <family val="2"/>
        <scheme val="minor"/>
      </rPr>
      <t>RUA MONSENHOR FURTADO, 1062 - PORANGABUSSU - FORTALEZA - CE</t>
    </r>
  </si>
  <si>
    <t>PRANCHA 03/26</t>
  </si>
  <si>
    <t>1.o PAVIMENTO</t>
  </si>
  <si>
    <t>2.o PAVIMENTO</t>
  </si>
  <si>
    <t>3.o PAVIMENTO</t>
  </si>
  <si>
    <t>4.o PAVIMENTO</t>
  </si>
  <si>
    <t>5.o PAVIMENTO</t>
  </si>
  <si>
    <t>6.o PAVIMENTO</t>
  </si>
  <si>
    <t>PRANCHA 09/26</t>
  </si>
  <si>
    <t>PRANCHA 12/26</t>
  </si>
  <si>
    <t>PRANCHA 15/26</t>
  </si>
  <si>
    <t>PRANCHA 18/26</t>
  </si>
  <si>
    <t>PRANCHA 21/26</t>
  </si>
  <si>
    <t>TINTA ACRÍLICA SUVINIL NA COR LUA NOVA (CÓD. A163), APLICADA SOBRE MASSA ACRÍLICA - ACAB. ACETINADO</t>
  </si>
  <si>
    <t>CERÂMICA NÃO RETIFICADA ELIANE - CARGO PLUS WHITE AC 45X45CM COM JUNTAS 3MM E REJUNTAMENTOS IMPERMEÁVEIS EM MASSA EPÓXI REJUNTAMIX NA COR PLATINA</t>
  </si>
  <si>
    <t>RODAPÉ EM PORCELANATO RETIFICADO Ugl ELIANE - MINIMUM NUDE NA (60X10CM); ASSENTAMENTO COM JUNTAS DE 1MM E REJUNTAMENTOS IMPERMEÁVEIS EM MASSA EPÓXI REJUNTAMIX NA COR CARAMELO</t>
  </si>
  <si>
    <t>PORCELANATO RETIFICADO Ugl ELIANE - MINIMUM AREIA NA 60X60CM; ASSENTAMENTO COM JUNTAS DE 1MM E REJUNTAMENTOS IMPERMEÁVEIS EM MASSA EPÓXI REJUNTAMIX NA COR CARAMELO</t>
  </si>
  <si>
    <r>
      <t xml:space="preserve">MASSA ACRÍLICA TEXTURIZADA IBRATIN - PERMALIT NOBRE </t>
    </r>
    <r>
      <rPr>
        <b/>
        <sz val="11"/>
        <rFont val="Calibri"/>
        <family val="2"/>
      </rPr>
      <t>#</t>
    </r>
    <r>
      <rPr>
        <b/>
        <sz val="10.8"/>
        <rFont val="Calibri"/>
        <family val="2"/>
      </rPr>
      <t>20 - COR BRANCA</t>
    </r>
  </si>
  <si>
    <t>RODAPÉ EM PORCELANATO RETIFICADO Ugl ELIANE - MINIMUM CONCRETO NA 60X60CM (EXECUTAR UMA FIADA)</t>
  </si>
  <si>
    <t>RODAPÉ EM PERFIL "C" DE ALUMÍNIO ANODIZADO - COR NATURAL (h=5CM) - EMBUTIDO NA ALVENARIA COM CAVIDADE PARA DENTRO</t>
  </si>
  <si>
    <t>PAINEL ACÚSTICO ABSORVENTE COM LÃ DE PET TRISOFT - LINHA REVEST FRAME - FORMADO COM PLACAS DE 50X50CM EM TONS DIFERENTES DE AZUL</t>
  </si>
  <si>
    <t>PAINEL ACÚSTICO REFLETOR EM MDF DURATEX - LINHA ESSENCIAL WOOD - CUMARU RAIZ 100X100CM</t>
  </si>
  <si>
    <t>PORCELANATO RETIFICADO Ugl ELIANE - MINIMUM NUDE NA 60X60CM; ASSENTAMENTO COM JUNTAS DE 1MM E REJUNTAMENTOS IMPERMEÁVEIS EM MASSA EPÓXI REJUNTAMIX NA COR CARAMELO</t>
  </si>
  <si>
    <t>PORCELANATO RETIFICADO Ugl ELIANE - MINIMUM CONCRETO NA 60X60CM; ASSENTAMENTO COM JUNTAS DE 1MM E REJUNTAMENTOS IMPERMEÁVEIS EM MASSA EPÓXI REJUNTAMIX NA COR PLATINA</t>
  </si>
  <si>
    <t>PISO CIMENTADO LISO DESEMPENADO COM RESINA EPÓXI NA COR CINZA CLARO</t>
  </si>
  <si>
    <t>CARPETE TARKETT - LINHA DESSO - 711446026 (CINZA) EM PLACAS 50X50CM</t>
  </si>
  <si>
    <t>CHAPA DE GESSO KNAUF ACARTONADO ST COM PINTURA ACRÍLICA SUVINIL NA COR BRANCO NEVE COM TABICAS MATÁLICAS LATERAIS FECHADAS NA COR BRANCA</t>
  </si>
  <si>
    <t>CHAPA DE GESSO KNAUF ACARTONADO RU, RESISTENTE À UMIDADE COM PINTURA ACRÍLICA SUVINIL NA COR BRANCO NEVE COM TABICAS MATÁLICAS LATERAIS FECHADAS NA COR BRANCA</t>
  </si>
  <si>
    <t>FORRO MODULAR REMOVÍVEL EM CHAPA KNAUF TECHNIFORRO COM REVESTIMENTO DE VINIL - PEÇAS DE 62,5X125CM</t>
  </si>
  <si>
    <t>FORRO MODULAR REMOVÍVEL EM CHAPA KNAUF TECHNIFORRO COM REVESTIMENTO DE VINIL - PEÇAS DE 62,5X62,5CM</t>
  </si>
  <si>
    <t xml:space="preserve">CHAPA PERFURADA QUADRICULADA DE GESSO ACARTONADO KNAUF CLEANEO ACÚSTICA COM PINTURA ACRÍLICA SHERWIN WILLIAMS - LINHA HOSPITALAR SEM CHEIRO (PAREDES E TETOS) </t>
  </si>
  <si>
    <t>FORRO RIPADO EM MADEIRA ECOLÓGICA T10 (COR CANYON) - REWOOD</t>
  </si>
  <si>
    <t>LAJE APARENTE COM PINTURA SUVINIL NA COR BRANCO NEVE (CÓD. RM181) - ACABAMENTO FOSCO</t>
  </si>
  <si>
    <t>PRANCHA 03 e 04/26</t>
  </si>
  <si>
    <t>TOTAL GERAL REV. INTERNO</t>
  </si>
  <si>
    <t>TOTAL GERAL PAV. INTERNA</t>
  </si>
  <si>
    <t>TOTAL GERAL TETO</t>
  </si>
  <si>
    <t>1.o PAV.</t>
  </si>
  <si>
    <t>2.o PAV.</t>
  </si>
  <si>
    <t>3.o PAV.</t>
  </si>
  <si>
    <t>4.o PAV.</t>
  </si>
  <si>
    <t>5.o PAV.</t>
  </si>
  <si>
    <t>6.o PAV.</t>
  </si>
  <si>
    <t>PRANCHA 02/26</t>
  </si>
  <si>
    <t>PRANCHA    /26</t>
  </si>
  <si>
    <t>PRANCHA 08/26</t>
  </si>
  <si>
    <t>PRANCHA 11/26</t>
  </si>
  <si>
    <t>PRANCHA 14/26</t>
  </si>
  <si>
    <t>PRANCHA 17/26</t>
  </si>
  <si>
    <t>PRANCHA 20/26</t>
  </si>
  <si>
    <t>PORTA MADEIRA</t>
  </si>
  <si>
    <t>P1</t>
  </si>
  <si>
    <t>P4</t>
  </si>
  <si>
    <t>P6</t>
  </si>
  <si>
    <t>P7</t>
  </si>
  <si>
    <t>PORTA DE GIRO PADRÃO, PARANÁ REVESTIDA EM LAMINADO MELAMÍNICO TEXTURIZADO (FÓRMICA) NO PADRÃO MOLDAU (M848) - COM ARREMATE DOS TOPOS EM CANALETA DE ALUMÍNIO ANODIZADO 1/2" (COR NATURAL); FORRAMENTO E ALIZARES (EXECUTAR ALIZARES PLANOS - 7CM) - 0,80X2,10M</t>
  </si>
  <si>
    <t>PORTA DE GIRO PADRÃO, PARANÁ REVESTIDA EM LAMINADO MELAMÍNICO TEXTURIZADO (FÓRMICA) NO PADRÃO MOLDAU (M848) - COM ARREMATE DOS TOPOS EM CANALETA DE ALUMÍNIO ANODIZADO 1/2" (COR NATURAL); FORRAMENTO E ALIZARES (EXECUTAR ALIZARES PLANOS - 7CM) - 0,90X2,10M</t>
  </si>
  <si>
    <t>PORTA DE GIRO PADRÃO, PARANÁ REVESTIDA EM LAMINADO MELAMÍNICO TEXTURIZADO (FÓRMICA) NO PADRÃO MOLDAU (M848) - COM ARREMATE DOS TOPOS EM CANALETA DE ALUMÍNIO ANODIZADO 1/2" (COR NATURAL); CHAPA DE PROTEÇÃO EM AÇO INOXIDÁVEL (#18) E BARRA DE APOIO PARA PcD EM AÇO COM ACABAMENTO ESCOVADO; FORRAMENTO E ALIZARES (EXECUTAR ALIZARES PLANOS - 7CM) - 0,90X2,10M</t>
  </si>
  <si>
    <t>PORTA DE GIRO PADRÃO, PARANÁ REVESTIDA EM LAMINADO MELAMÍNICO TEXTURIZADO (FÓRMICA) NO PADRÃO MOLDAU (M848) - COM ARREMATE DOS TOPOS EM CANALETA DE ALUMÍNIO ANODIZADO 1/2" (COR NATURAL);  VISOR EM VIDRO LAMINADO 6MM INCOLOR; FORRAMENTO E ALIZARES (EXECUTAR ALIZARES PLANOS - 7CM) - 1,10X2,10M</t>
  </si>
  <si>
    <t>VISOR</t>
  </si>
  <si>
    <t>V1</t>
  </si>
  <si>
    <t>V2</t>
  </si>
  <si>
    <t>V3</t>
  </si>
  <si>
    <t>V4</t>
  </si>
  <si>
    <t>PORTA ALUMÍNIO</t>
  </si>
  <si>
    <t>PORTÃO VAZADO EM PERFIS DE ALUMÍNIO ANODIZADO NA COR BRONZE - 0,90X2,10M</t>
  </si>
  <si>
    <t>PA1</t>
  </si>
  <si>
    <t>PA3</t>
  </si>
  <si>
    <t>PA4</t>
  </si>
  <si>
    <t>PA5</t>
  </si>
  <si>
    <t>PA6</t>
  </si>
  <si>
    <t>PA9</t>
  </si>
  <si>
    <t>PORTA DE CORRER DUPLA EM CHAPA DE ALUMÍNIO E VENEZIANAS - PINTURA ELETROSTÁTICA NA COR BRANCA - 1,48X2,60M</t>
  </si>
  <si>
    <t>PORTÃO VAZADO EM PERFIS DE ALUMÍNIO ANODIZADO NA COR BRONZE - 1,60X2,10M</t>
  </si>
  <si>
    <t>PORTA DE CORRER DUPLA EM CHAPA DE ALUMÍNIO E VENEZIANAS - PINTURA ELETROSTÁTICA NA COR BRANCA - 1,77X2,60M</t>
  </si>
  <si>
    <t>PORTA DE CORRER DUPLA EM CHAPA DE ALUMÍNIO E VENEZIANAS - PINTURA ELETROSTÁTICA NA COR BRANCA - 2,35X2,60M</t>
  </si>
  <si>
    <t>PORTA DE CORRER DUPLA EM CHAPA DE ALUMÍNIO E VENEZIANAS - PINTURA ELETROSTÁTICA NA COR BRANCA - 2,50X2,60M</t>
  </si>
  <si>
    <t>PORTA DE CORRER DUPLA EM CHAPA DE ALUMÍNIO E VENEZIANAS - PINTURA ELETROSTÁTICA NA COR BRANCA - 3,00X2,60M</t>
  </si>
  <si>
    <t>PORTA DE CORRER DUPLA EM CHAPA DE ALUMÍNIO E VENEZIANAS - PINTURA ELETROSTÁTICA NA COR BRANCA - 3,40X2,60M</t>
  </si>
  <si>
    <t>PORTÃO VAZADO EM PERFIS DE ALUMÍNIO ANODIZADO NA COR BRONZE - 5,00X2,50M</t>
  </si>
  <si>
    <t>PORTA ACÚSTICA</t>
  </si>
  <si>
    <t>PAC1</t>
  </si>
  <si>
    <t>PINTURA ELETROSTÁTICA</t>
  </si>
  <si>
    <t>PORTA CORTA-FOGO</t>
  </si>
  <si>
    <t>PF1</t>
  </si>
  <si>
    <t>PF2</t>
  </si>
  <si>
    <r>
      <t>PORTA CORTA FOGO EM CHAPA DE AÇO COM FUNDO EM GALVITE E PINTURA ELETROSTÁTICA, BATENTE METÁLICO EM CHAPA DE AÇO DOBRADA N</t>
    </r>
    <r>
      <rPr>
        <sz val="11"/>
        <rFont val="Calibri"/>
        <family val="2"/>
      </rPr>
      <t>º16, COM PINTURA ESMALTE SINTÉTICO (COR BRANCO) - COM DOBRADIÇA HELICOIDAL PARA PORTA CORTA FOGO, BARRA ANTIPÂNICO E SELECIONADOR DE FOLHA DE PORTA MECÂNICO E MOLA AÉREA - 0,90X2,10M</t>
    </r>
  </si>
  <si>
    <r>
      <t>PORTA CORTA FOGO EM CHAPA DE AÇO COM FUNDO EM GALVITE E PINTURA ELETROSTÁTICA, BATENTE METÁLICO EM CHAPA DE AÇO DOBRADA N</t>
    </r>
    <r>
      <rPr>
        <sz val="11"/>
        <rFont val="Calibri"/>
        <family val="2"/>
      </rPr>
      <t>º16, COM PINTURA ESMALTE SINTÉTICO (COR BRANCO) - COM DOBRADIÇA HELICOIDAL PARA PORTA CORTA FOGO, BARRA ANTIPÂNICO E SELECIONADOR DE FOLHA DE PORTA MECÂNICO E MOLA AÉREA -1,90X2,10M</t>
    </r>
  </si>
  <si>
    <r>
      <t>PORTA CORTA FOGO EM CHAPA DE AÇO COM FUNDO EM GALVITE E PINTURA ELETROSTÁTICA, BATENTE METÁLICO EM CHAPA DE AÇO DOBRADA N</t>
    </r>
    <r>
      <rPr>
        <sz val="11"/>
        <rFont val="Calibri"/>
        <family val="2"/>
      </rPr>
      <t>º16, COM PINTURA ESMALTE SINTÉTICO (COR BRANCO) - COM DOBRADIÇA HELICOIDAL PARA PORTA CORTA FOGO, BARRA ANTIPÂNICO E SELECIONADOR DE FOLHA DE PORTA MECÂNICO E MOLA AÉREA -2,10X2,10M</t>
    </r>
  </si>
  <si>
    <t>ESQUADRIA ESPECIAL</t>
  </si>
  <si>
    <t>E1</t>
  </si>
  <si>
    <t>COBOGÓ</t>
  </si>
  <si>
    <t>COBOGÓ EM CONCRETO PRÉ-MOLDADO TIPO CUBO; PINTURA ACRÍLICA BRANCA - 3,00X1,00M</t>
  </si>
  <si>
    <t>CO1</t>
  </si>
  <si>
    <t>PINTURA ACRÍLICA</t>
  </si>
  <si>
    <t>LAMINADO MELAMÍNICO</t>
  </si>
  <si>
    <t xml:space="preserve">RESUMO </t>
  </si>
  <si>
    <t>PINTURA ELETROSTÁTICA/PINTURA ESMALTE</t>
  </si>
  <si>
    <t>UND</t>
  </si>
  <si>
    <t>PRATELEIRAS</t>
  </si>
  <si>
    <t>AMBIENTE</t>
  </si>
  <si>
    <t>PRATELEIRAS EM GRANITO</t>
  </si>
  <si>
    <t>DML</t>
  </si>
  <si>
    <t>BANCADA E ESPELHO EM CONCRETO PRÉ-MOLDADO REVESTIDA COM MANTA EMBORRACHADA</t>
  </si>
  <si>
    <t>DILUIÇÃO SANEANTES</t>
  </si>
  <si>
    <t>LABORATÓRIO MANUTENÇÃO</t>
  </si>
  <si>
    <t>OFICINA ELETRO ELETRÔNICA</t>
  </si>
  <si>
    <t>OFICINA CLIMAT. EQUIP. ESPERA</t>
  </si>
  <si>
    <t>PROCESSAMENTO DE MOP</t>
  </si>
  <si>
    <t>SANITÁRIO PÚBLICO MASC.</t>
  </si>
  <si>
    <t>SANITÁRIO PÚBLICO FEM.</t>
  </si>
  <si>
    <t>PRANCHA 01/26</t>
  </si>
  <si>
    <t>CIRCULAÇÃO</t>
  </si>
  <si>
    <t>FRALDÁRIO</t>
  </si>
  <si>
    <t>OBSERVAÇÃO PACIENTE REGULADO</t>
  </si>
  <si>
    <t>SANIT. PcD MASC.</t>
  </si>
  <si>
    <t>SANIT. PcD FEM.</t>
  </si>
  <si>
    <t>SANIT. PÚBLICO FEM.</t>
  </si>
  <si>
    <t>SANIT. PÚBLICO MASC.</t>
  </si>
  <si>
    <t>DEPÓSITO DE PEÇAS</t>
  </si>
  <si>
    <t>DEPÓSITO EQUIPAMENTOS EM MANUTENÇÃO</t>
  </si>
  <si>
    <t>CASA DE MÁQUINAS</t>
  </si>
  <si>
    <t>SUPERVISÃO ENG. CLÍNICA</t>
  </si>
  <si>
    <t>RECEPÇÃO LABORATÓRIO ENG. CLÍNICA</t>
  </si>
  <si>
    <t>SANITÁRIO PcD</t>
  </si>
  <si>
    <t>SALA MULTIUSO</t>
  </si>
  <si>
    <t>ENGENHARIA CLÍNICA</t>
  </si>
  <si>
    <t>SALA DE UIF</t>
  </si>
  <si>
    <t>SALA DE UMP</t>
  </si>
  <si>
    <t>HALL MANUTENÇÃO</t>
  </si>
  <si>
    <t>COPA DE FUNCIONÁRIOS</t>
  </si>
  <si>
    <t>PORTARIA</t>
  </si>
  <si>
    <t>SUPERVISÃO MANUTENÇÃO</t>
  </si>
  <si>
    <t>SANIT. PcD</t>
  </si>
  <si>
    <t>SANIT. PÚBLICO MASC. E FEM.</t>
  </si>
  <si>
    <t>MUDOU A ÁREA</t>
  </si>
  <si>
    <t>JUNTA DE DILATAÇÃO DO FORRO DE GESSO</t>
  </si>
  <si>
    <t>TABICAS METÁLICAS LATERAIS FECHADAS NA COR BRANCA</t>
  </si>
  <si>
    <t>1 e 2</t>
  </si>
  <si>
    <t xml:space="preserve">GUARDA CORPO </t>
  </si>
  <si>
    <t>RESUMO GUARDA CORPO</t>
  </si>
  <si>
    <t>M</t>
  </si>
  <si>
    <t>CALHA METÁLICA</t>
  </si>
  <si>
    <t>RUFO METÁLICO</t>
  </si>
  <si>
    <t>CHAPIM PRÉ-MOLDADO DE CONCRETO</t>
  </si>
  <si>
    <t xml:space="preserve">CHAPIM PRÉ-MOLDADO 19CM (CX. D´ÁGUA) </t>
  </si>
  <si>
    <t>CHAPIM PRÉ-MOLDADO 19CM</t>
  </si>
  <si>
    <t>LAJE DE FUNDO CX. D`ÁGUA</t>
  </si>
  <si>
    <t>PRANCHA 06/26</t>
  </si>
  <si>
    <t>HALL</t>
  </si>
  <si>
    <t>SALA CHEFIA NIR</t>
  </si>
  <si>
    <t>SALA ADM. NIR</t>
  </si>
  <si>
    <t>ESTOCAGEM/DITRIBUIÇÃO</t>
  </si>
  <si>
    <t>AGÊNCIA TRANSFUSIONAL/DISTRIBUIÇÃO</t>
  </si>
  <si>
    <t>ADMINISTRATIVO</t>
  </si>
  <si>
    <t>CHEFIA</t>
  </si>
  <si>
    <t>COPA</t>
  </si>
  <si>
    <t>BANHEIRO</t>
  </si>
  <si>
    <t>PLANTONISTA</t>
  </si>
  <si>
    <t>ACOLHIMENTO</t>
  </si>
  <si>
    <t>ATENDIMENTO INDIVIDUALIZADO</t>
  </si>
  <si>
    <t>SALA PSICOLOGIA</t>
  </si>
  <si>
    <t>TO/REABILITAÇÃO</t>
  </si>
  <si>
    <t>PALIATIVOS/CIDOT./DESOSPITALIZAÇÃO</t>
  </si>
  <si>
    <t>CHEFIA EMFERMAGEM</t>
  </si>
  <si>
    <t>SALA ADMINISTRAÇÃO ENFERMAGEM</t>
  </si>
  <si>
    <t>APOIO ADMINISTRAÇÃO</t>
  </si>
  <si>
    <t>GERÊNCIA ATENÇÃO À SAÚDE</t>
  </si>
  <si>
    <t>ESTAR</t>
  </si>
  <si>
    <t>SANIT. FUNC. FEMININO e MASCULINO</t>
  </si>
  <si>
    <t>DEPÓSITO EQUIPAMENTOS/SEGURANÇA DO TRABALHO</t>
  </si>
  <si>
    <t>SANIT. FEM.</t>
  </si>
  <si>
    <t>SANIT. MASC.</t>
  </si>
  <si>
    <t>SHAFT</t>
  </si>
  <si>
    <t>SANIT.MASC.</t>
  </si>
  <si>
    <t>ESTAR/FOYER</t>
  </si>
  <si>
    <t>SANIT. PÚBLICO FEM. E MASC.</t>
  </si>
  <si>
    <t>HACK DADOS</t>
  </si>
  <si>
    <t>AUDITÓRIO</t>
  </si>
  <si>
    <t>CABINE DE CONTROLE</t>
  </si>
  <si>
    <t>SALA DE AULA</t>
  </si>
  <si>
    <t>CHEFIAS MÉDICAS</t>
  </si>
  <si>
    <t>LANCHE</t>
  </si>
  <si>
    <t>REUNIÃO</t>
  </si>
  <si>
    <t>DESCANSO</t>
  </si>
  <si>
    <t>ESTAR MÉDICO</t>
  </si>
  <si>
    <t>PLANTÃO MÉDICO FEMININO</t>
  </si>
  <si>
    <t>PLANTÃO MÉDICO MASCULINO</t>
  </si>
  <si>
    <t>ESTAR FAMILIARES</t>
  </si>
  <si>
    <t>PREPARO MEDICAÇÃO</t>
  </si>
  <si>
    <t>POSTO DE EMFERMAGEM</t>
  </si>
  <si>
    <t>CENTRAL ADM.</t>
  </si>
  <si>
    <t>PRESCRIÇÃO MÉDICA</t>
  </si>
  <si>
    <t>CHEFIA ADM.</t>
  </si>
  <si>
    <t>COPA FUNCIIONÁRIOS</t>
  </si>
  <si>
    <t>SANIT. ACOMP. FEM.</t>
  </si>
  <si>
    <t>SANIT. ACOMP. MASC.</t>
  </si>
  <si>
    <t>REPOUSO MASCULINO</t>
  </si>
  <si>
    <t>REPOUSO FEMININO</t>
  </si>
  <si>
    <t>SANIT. FUNCIONÁRIO FEM.</t>
  </si>
  <si>
    <t>SANIT. FUNCIONÁRIO MASC.</t>
  </si>
  <si>
    <t>UTILIDADES</t>
  </si>
  <si>
    <t>ANTECÂMARA</t>
  </si>
  <si>
    <t>ISOLAMENTO-01L</t>
  </si>
  <si>
    <t>BANH. PcD</t>
  </si>
  <si>
    <t>HIGIENIZAÇÃO BRINQUEDOS</t>
  </si>
  <si>
    <t>REFEITÓRIO PACIENTES</t>
  </si>
  <si>
    <t>COPA DISTRIBUIÇÃO</t>
  </si>
  <si>
    <t>BRINQUEDOTECA</t>
  </si>
  <si>
    <t>ENFERMARIA-04L</t>
  </si>
  <si>
    <t>ENFERMARIA-02L</t>
  </si>
  <si>
    <t>ENFERMARIA-03L</t>
  </si>
  <si>
    <t>CIRC. ENFERMARIA</t>
  </si>
  <si>
    <t>ROUPARIA</t>
  </si>
  <si>
    <t>SECRETARIA</t>
  </si>
  <si>
    <t>REPOUSO</t>
  </si>
  <si>
    <t>CHEFIA/REUNIÃO</t>
  </si>
  <si>
    <t>ARSENAL</t>
  </si>
  <si>
    <t>ISOLAMENTO 01</t>
  </si>
  <si>
    <t>ISOLAMENTO 02</t>
  </si>
  <si>
    <t>ISOLAMENTO 03</t>
  </si>
  <si>
    <t>VEST. MASC.</t>
  </si>
  <si>
    <t>BANHEIRO FEM. E MASC.</t>
  </si>
  <si>
    <t>VEST. FEM. E MASC.</t>
  </si>
  <si>
    <t>AC</t>
  </si>
  <si>
    <t>SALA DE UTILIDADES</t>
  </si>
  <si>
    <t>EQUIPAMENTOS</t>
  </si>
  <si>
    <t>ÁREA COLETIVA DE ESTAR PACIENTE ALOGÊNICO</t>
  </si>
  <si>
    <t>ENFERMARIA 01</t>
  </si>
  <si>
    <t>ENFERMARIA 02</t>
  </si>
  <si>
    <t>ENFERMARIA 03</t>
  </si>
  <si>
    <t>ESTAR PACIENTES</t>
  </si>
  <si>
    <t>REPOUSO 01</t>
  </si>
  <si>
    <t>REPOUSO 02</t>
  </si>
  <si>
    <t>ENFERMARIA 05</t>
  </si>
  <si>
    <t>ENFERMARIA 06</t>
  </si>
  <si>
    <t>ISOLAMENTO 04</t>
  </si>
  <si>
    <t>ISOLAMENTO 05</t>
  </si>
  <si>
    <t>ENFERMARIA 04</t>
  </si>
  <si>
    <t>HALL DE ELEVADORES</t>
  </si>
  <si>
    <t>SALA TI</t>
  </si>
  <si>
    <t>ESPERA UTI CARDIOLÓGICA</t>
  </si>
  <si>
    <t>BANHEIRO MASC. E FEM.</t>
  </si>
  <si>
    <t>LABORATÓRIO SUPORTE</t>
  </si>
  <si>
    <t>COPA/REFEITÓRIO FUNC.</t>
  </si>
  <si>
    <t>SALA DE REUNIÃO</t>
  </si>
  <si>
    <t>PRESCRIÇÃO MÉDICA/ESTAR</t>
  </si>
  <si>
    <t>SANIT.</t>
  </si>
  <si>
    <t>APARTAMENTO 10</t>
  </si>
  <si>
    <t>APARTAMENTO 08 e 09</t>
  </si>
  <si>
    <t>APARTAMENTO 07</t>
  </si>
  <si>
    <t>CHEFIA MÉDICA E ENFERMAGEM</t>
  </si>
  <si>
    <t>COPA PACIENTES</t>
  </si>
  <si>
    <t>SANIT. PcD MASC. E FEM.</t>
  </si>
  <si>
    <t xml:space="preserve">HIGIENIZAÇÃO </t>
  </si>
  <si>
    <t>ENTREVISTAS</t>
  </si>
  <si>
    <t xml:space="preserve">VEST. FEM. </t>
  </si>
  <si>
    <t>BANH. MASC. E FEM. ACOMP.</t>
  </si>
  <si>
    <t>FARMÁCIA</t>
  </si>
  <si>
    <t>PREPARAÇÃO MEDICAÇÃO</t>
  </si>
  <si>
    <t>CIRCULAÇÃO UTI CARDIOLÓGICA</t>
  </si>
  <si>
    <t>APARTAMENTO 01</t>
  </si>
  <si>
    <t>APARTAMENTO 03 e 04</t>
  </si>
  <si>
    <t>APARTAMENTO 02, 05 e 06</t>
  </si>
  <si>
    <t>ISOLAMENTO</t>
  </si>
  <si>
    <t>GUARDA EQUIPAMENTOS</t>
  </si>
  <si>
    <t>SALA DE ALTA</t>
  </si>
  <si>
    <t>BANH. ACOMP. MASC.</t>
  </si>
  <si>
    <t>BANH. ACOMP. FEM.</t>
  </si>
  <si>
    <t>REPOUSO EMFERMAGEM MASC.</t>
  </si>
  <si>
    <t>REPOUSO EMFERMAGEM FEM.</t>
  </si>
  <si>
    <t>BANH.</t>
  </si>
  <si>
    <t>SANIT. FUNC. FEMININO</t>
  </si>
  <si>
    <t>SANIT. FUNC. MASCULINO</t>
  </si>
  <si>
    <t xml:space="preserve">REVEST. ALVENARIA BANCADA </t>
  </si>
  <si>
    <t>COPA FUNCIONÁRIOS</t>
  </si>
  <si>
    <t>ESCADA</t>
  </si>
  <si>
    <t>ESTERILIZAÇÃO</t>
  </si>
  <si>
    <t>ALMOXARIFADO</t>
  </si>
  <si>
    <t>LAVAGEM</t>
  </si>
  <si>
    <t>COPA DE APOIO</t>
  </si>
  <si>
    <t>MICROBIOLOGIA</t>
  </si>
  <si>
    <t>HEMATOLOGIA</t>
  </si>
  <si>
    <t>SOROLOGIA</t>
  </si>
  <si>
    <t>BIOQUÍMICA</t>
  </si>
  <si>
    <t>SOROTECA</t>
  </si>
  <si>
    <t>MANUAIS</t>
  </si>
  <si>
    <t>CHEFIAS</t>
  </si>
  <si>
    <t>IMUNOFLUOR.</t>
  </si>
  <si>
    <t>CDM</t>
  </si>
  <si>
    <t>ESCADA ENCLAUSURADA</t>
  </si>
  <si>
    <t>OFICIAIS MANUTENÇÃO</t>
  </si>
  <si>
    <t>ENCARREGADOS PLANTONISTAS</t>
  </si>
  <si>
    <t>DEPÓSITO FERRAMENTAS</t>
  </si>
  <si>
    <t>APOIO TÉCNICO/SEG. DO TRABALHO</t>
  </si>
  <si>
    <t>OFICINA CLIMATIZAÇÃO/EQUIP. EM ESPERA</t>
  </si>
  <si>
    <t>SALA ADM. ZELADORIA</t>
  </si>
  <si>
    <t>GUARDA TEMPORÁRIA/DILUIÇÃO SANEANTES/LAVAGEM FRASCOS</t>
  </si>
  <si>
    <t>RESÍDUOS COMUNS E RECICLÁVEIS</t>
  </si>
  <si>
    <t>RESÍDUOS COMUNS E NÃO RECICLÁVEIS</t>
  </si>
  <si>
    <t>INFECTANTES</t>
  </si>
  <si>
    <t>QUÍMICOS</t>
  </si>
  <si>
    <t>SANITÁRIO</t>
  </si>
  <si>
    <t>LAVAGEM CARROS/R.S.</t>
  </si>
  <si>
    <t>LAVAGEM CARROS/RESID.</t>
  </si>
  <si>
    <t>NECROTÉRIO</t>
  </si>
  <si>
    <t>ARMAZENAGEM ROUPA LIMPA</t>
  </si>
  <si>
    <t>SALA ADM./ROUPARIA</t>
  </si>
  <si>
    <t>SANIT./VEST.</t>
  </si>
  <si>
    <t>ARMAZENAGEM ROUPA SUJA</t>
  </si>
  <si>
    <t>DML RL/DML RS</t>
  </si>
  <si>
    <t>SANIT./VEST. FEMININO e MASCULINO</t>
  </si>
  <si>
    <t>ENTRETENIMENTO</t>
  </si>
  <si>
    <t>ESTAÇÃO DE TRABALHO</t>
  </si>
  <si>
    <t>ESTAR RESIDENTES INTERNOS</t>
  </si>
  <si>
    <t>BHO. /VEST. MASCULINO e BHO./VEST. FEMININO</t>
  </si>
  <si>
    <t>QUARTO (4 CAMAS)</t>
  </si>
  <si>
    <t>ESCANINHOS</t>
  </si>
  <si>
    <t>ESCADA PROTEGIDA</t>
  </si>
  <si>
    <t>TERRAÇO TÉCNICO</t>
  </si>
  <si>
    <t>ÁREA EXTERNA</t>
  </si>
  <si>
    <t>CASA DE BOMBAS</t>
  </si>
  <si>
    <t>CARAMANCHÃO</t>
  </si>
  <si>
    <t>SOLARIUM</t>
  </si>
  <si>
    <t>BLOCO 2 e BLOCO 3</t>
  </si>
  <si>
    <t xml:space="preserve">ESCADA </t>
  </si>
  <si>
    <t>Nivel</t>
  </si>
  <si>
    <t>PISO</t>
  </si>
  <si>
    <t>ESPELHO</t>
  </si>
  <si>
    <t>TOTAL PISO + ESPELHO</t>
  </si>
  <si>
    <t>RODAPÉ</t>
  </si>
  <si>
    <t xml:space="preserve">TOTAL </t>
  </si>
  <si>
    <t>TÉRREO/1.o pav.</t>
  </si>
  <si>
    <t>1.o pav./2.o pav.</t>
  </si>
  <si>
    <t>2.o pav./3.o pav.</t>
  </si>
  <si>
    <t>TOTAL GERAL PISO + ESPELHO</t>
  </si>
  <si>
    <t>ABRIGO VEÍCULOS/DESCARGA</t>
  </si>
  <si>
    <t>ESTÁ NA ÁREA EXTERNA</t>
  </si>
  <si>
    <t>PISO CIMENTADO LISO</t>
  </si>
  <si>
    <t>E2</t>
  </si>
  <si>
    <t>E3</t>
  </si>
  <si>
    <r>
      <t>PORTA CORTA FOGO EM CHAPA DE AÇO COM FUNDO EM GALVITE E PINTURA ELETROSTÁTICA, BATENTE METÁLICO EM CHAPA DE AÇO DOBRADA N</t>
    </r>
    <r>
      <rPr>
        <sz val="11"/>
        <rFont val="Calibri"/>
        <family val="2"/>
      </rPr>
      <t>º16, COM PINTURA ESMALTE SINTÉTICO (COR BRANCO) - COM DOBRADIÇA HELICOIDAL PARA PORTA CORTA FOGO, BARRA ANTIPÂNICO E SELECIONADOR DE FOLHA DE PORTA MECÂNICO E MOLA AÉREA -2,00X2,10M</t>
    </r>
  </si>
  <si>
    <t>GUICHÊ</t>
  </si>
  <si>
    <t>G1</t>
  </si>
  <si>
    <t>PORTA DE CORRER DUPLA EM CHAPA DE ALUMÍNIO E VENEZIANAS - PINTURA ELETROSTÁTICA NA COR BRANCA - 3,19X2,60M</t>
  </si>
  <si>
    <t>PORTA DE CORRER DUPLA EM CHAPA DE ALUMÍNIO E VENEZIANAS - PINTURA ELETROSTÁTICA NA COR BRANCA - 3,21X2,60M</t>
  </si>
  <si>
    <t>P5/CA</t>
  </si>
  <si>
    <t>P6/CA</t>
  </si>
  <si>
    <t>PORTA DE GIRO PADRÃO, PARANÁ REVESTIDA EM LAMINADO MELAMÍNICO TEXTURIZADO (FÓRMICA) NO PADRÃO MOLDAU (M848) - COM ARREMATE DOS TOPOS EM CANALETA DE ALUMÍNIO ANODIZADO 1/2" (COR NATURAL);  VISOR EM VIDRO LAMINADO 6MM INCOLOR; FORRAMENTO E ALIZARES (EXECUTAR ALIZARES PLANOS - 7CM) - 1,00X2,10M</t>
  </si>
  <si>
    <t>PORTA DE GIRO PADRÃO, PARANÁ REVESTIDA EM LAMINADO MELAMÍNICO TEXTURIZADO (FÓRMICA) NO PADRÃO MOLDAU (M848) - COM ARREMATE DOS TOPOS EM CANALETA DE ALUMÍNIO ANODIZADO 1/2" (COR NATURAL);  VISOR EM VIDRO LAMINADO 6MM INCOLOR; FORRAMENTO E ALIZARES (EXECUTAR ALIZARES PLANOS - 7CM) - 1,95X2,70M</t>
  </si>
  <si>
    <t>P8</t>
  </si>
  <si>
    <t>PORTA DE CORRER DUPLA EM CHAPA DE ALUMÍNIO E VENEZIANAS - PINTURA ELETROSTÁTICA NA COR BRANCA - 3,97X2,60M</t>
  </si>
  <si>
    <t>PAC2</t>
  </si>
  <si>
    <t>PAC3</t>
  </si>
  <si>
    <t>PORTA ACÚSTICA EM CHAPA DOBRADA DE AÇO CARBONO COM LÃ DE PET NO NÚCLEO INTERNO, ACABAMENTO COM PINTURA ELETROSTÁTICA NA COR BRANCA; BATENTE EM CHAPA DE AÇO DOBRADA (#16) COM PINTURA ESMALTE SINTÉTICA NA COR BRANCA - 1,30X2,10M</t>
  </si>
  <si>
    <t>PORTA ACÚSTICA EM CHAPA DOBRADA DE AÇO CARBONO COM LÃ DE PET NO NÚCLEO INTERNO, ACABAMENTO COM PINTURA ELETROSTÁTICA NA COR BRANCA; BATENTE EM CHAPA DE AÇO DOBRADA (#16) COM PINTURA ESMALTE SINTÉTICA NA COR BRANCA - 1,60X2,10M</t>
  </si>
  <si>
    <t>PORTA ACÚSTICA DO TIPO CAMARÃO EM CHAPA DOBRADA DE AÇO CARBONO COM LÃ DE PET NO NÚCLEO INTERNO, ACABAMENTO COM PINTURA ELETROSTÁTICA NA COR BRANCA; BATENTE EM CHAPA DE AÇO DOBRADA (#16) COM PINTURA ESMALTE SINTÉTICA NA COR BRANCA - 8,35X3,00M</t>
  </si>
  <si>
    <r>
      <t>PORTA CORTA FOGO EM CHAPA DE AÇO COM FUNDO EM GALVITE E PINTURA ELETROSTÁTICA, BATENTE METÁLICO EM CHAPA DE AÇO DOBRADA N</t>
    </r>
    <r>
      <rPr>
        <sz val="11"/>
        <rFont val="Calibri"/>
        <family val="2"/>
      </rPr>
      <t>º16, COM PINTURA ESMALTE SINTÉTICO (COR BRANCO) - COM DOBRADIÇA HELICOIDAL PARA PORTA CORTA FOGO, BARRA ANTIPÂNICO E SELECIONADOR DE FOLHA DE PORTA MECÂNICO E MOLA AÉREA - 1,00X2,10M</t>
    </r>
  </si>
  <si>
    <t>PORTA DE CORRER PADRÃO, PARANÁ REVESTIDA EM LAMINADO MELAMÍNICO TEXTURIZADO (FÓRMICA) NO PADRÃO MOLDAU (M848) - COM ARREMATE DOS TOPOS EM CANALETA DE ALUMÍNIO ANODIZADO 1/2" (COR NATURAL); VISOR EM VIDRO LAMINADO 6MM INCOLOR, FORRAMENTO E ALIZARES (EXECUTAR ALIZARES PLANOS - 7CM) PORTA C/ CONTROLE DE ACESSO - 0,80X2,10M</t>
  </si>
  <si>
    <t>P9</t>
  </si>
  <si>
    <t>PORTA DE GIRO PADRÃO, PARANÁ REVESTIDA EM LAMINADO MELAMÍNICO TEXTURIZADO (FÓRMICA) NO PADRÃO MOLDAU (M848) - COM ARREMATE DOS TOPOS EM CANALETA DE ALUMÍNIO ANODIZADO 1/2" (COR NATURAL);  COM GUICHÊ E CONTROLE DE ACESSO; FORRAMENTO E ALIZARES (EXECUTAR ALIZARES PLANOS - 7CM) PORTA C/ CONTROLE DE ACESSO - 1,30X2,10M</t>
  </si>
  <si>
    <t>PORTA DE CORRER PADRÃO, PARANÁ REVESTIDA EM LAMINADO MELAMÍNICO TEXTURIZADO (FÓRMICA) NO PADRÃO MOLDAU (M848) - COM ARREMATE DOS TOPOS EM CANALETA DE ALUMÍNIO ANODIZADO 1/2" (COR NATURAL); CHAPA DE PROTEÇÃO EM AÇO INOXIDÁVEL (#18) E BARRA DE APOIO PARA PcD EM AÇO COM ACABAMENTO ESCOVADO; FORRAMENTO E ALIZARES (EXECUTAR ALIZARES PLANOS - 7CM) PORTA C/ CONTROLE DE ACESSO - 0,90X2,10M</t>
  </si>
  <si>
    <t>PORTA DE CORRER DUPLA EM CHAPA DE ALUMÍNIO E VENEZIANAS - PINTURA ELETROSTÁTICA NA COR BRANCA - 3,34X2,60M</t>
  </si>
  <si>
    <t>SANITÁRIOS FUNCIONÁRIOS</t>
  </si>
  <si>
    <t>COPA APOIO</t>
  </si>
  <si>
    <t>B2</t>
  </si>
  <si>
    <t>B3</t>
  </si>
  <si>
    <t>B4</t>
  </si>
  <si>
    <t>PRANCHA    04/26</t>
  </si>
  <si>
    <t>PRANCHA 10/26</t>
  </si>
  <si>
    <t>PRANCHA 07/26</t>
  </si>
  <si>
    <t>PRANCHA 13/26</t>
  </si>
  <si>
    <t>PRANCHA 16/26</t>
  </si>
  <si>
    <t>PRANCHA 19/26</t>
  </si>
  <si>
    <t>B5</t>
  </si>
  <si>
    <t>B6</t>
  </si>
  <si>
    <t>B7</t>
  </si>
  <si>
    <t>B8</t>
  </si>
  <si>
    <t>B9</t>
  </si>
  <si>
    <t>ESTOCAGEM/DIST./AG.TRANSF. I/DIST.</t>
  </si>
  <si>
    <t>B10</t>
  </si>
  <si>
    <t>B11</t>
  </si>
  <si>
    <t>B12</t>
  </si>
  <si>
    <t>B13</t>
  </si>
  <si>
    <t>B14</t>
  </si>
  <si>
    <t>B15</t>
  </si>
  <si>
    <t>B16</t>
  </si>
  <si>
    <t>B17</t>
  </si>
  <si>
    <t>PT1</t>
  </si>
  <si>
    <t>PT2</t>
  </si>
  <si>
    <t>PT3</t>
  </si>
  <si>
    <t>PT4</t>
  </si>
  <si>
    <t>B1</t>
  </si>
  <si>
    <t>BANHEIROS PLANTÕES</t>
  </si>
  <si>
    <t>SANITÁRIOS PÚBLICOS</t>
  </si>
  <si>
    <t>BANHEIROS/VESTIÁRIOS</t>
  </si>
  <si>
    <t>LANCHE (RESIDENTES/INTERNOS)</t>
  </si>
  <si>
    <t>LANCHE (MÉDICOS)</t>
  </si>
  <si>
    <t>POSTO DE ENFERMAGEM</t>
  </si>
  <si>
    <t>BANHEIROS INTERNAÇÕES</t>
  </si>
  <si>
    <t>HIGIENIZAÇÃO DE BRINQUEDOS</t>
  </si>
  <si>
    <t>PT5</t>
  </si>
  <si>
    <t>PT6</t>
  </si>
  <si>
    <t>PREPARO DE MEDICAÇÃO</t>
  </si>
  <si>
    <t>BANHEIROS UTI</t>
  </si>
  <si>
    <t>HIGIENIZAÇÃO</t>
  </si>
  <si>
    <t>VESTIÁRIO FEM. E MASC.</t>
  </si>
  <si>
    <r>
      <t xml:space="preserve">BANCADA E ESPELHO EM GRANITO BRANCO CEARÁ CLASSIC (BANCADA ENCOSTO LISO SEM CUBA ESPELHO H= 15CM), </t>
    </r>
    <r>
      <rPr>
        <b/>
        <sz val="11"/>
        <rFont val="Calibri"/>
        <family val="2"/>
        <scheme val="minor"/>
      </rPr>
      <t>SEM CUBA - REF.: 06.1</t>
    </r>
  </si>
  <si>
    <r>
      <t xml:space="preserve">BANCADA E ESPELHO EM GRANITO BRANCO CEARÁ CLASSIC (BANCADA ENCOSTO REBAIXADO ESPELHO H= 15CM), </t>
    </r>
    <r>
      <rPr>
        <b/>
        <sz val="11"/>
        <rFont val="Calibri"/>
        <family val="2"/>
        <scheme val="minor"/>
      </rPr>
      <t>SEM CUBA - REF.: 06.3</t>
    </r>
  </si>
  <si>
    <r>
      <t xml:space="preserve">BANCADA E ESPELHO EM GRANITO BRANCO CEARÁ CLASSIC (BANCADA ENCOSTO REBAIXADO ESPELHO H= 15CM), </t>
    </r>
    <r>
      <rPr>
        <b/>
        <sz val="11"/>
        <rFont val="Calibri"/>
        <family val="2"/>
        <scheme val="minor"/>
      </rPr>
      <t>COM CUBA EM AÇO INOX (CB-20) - REF.: 06.3</t>
    </r>
  </si>
  <si>
    <r>
      <t xml:space="preserve">BANCADA E ESPELHO EM GRANITO BRANCO CEARÁ CLASSIC (BANCADA ENCOSTO LISO COM CUBA ESPELHO H= 15CM), </t>
    </r>
    <r>
      <rPr>
        <b/>
        <sz val="11"/>
        <rFont val="Calibri"/>
        <family val="2"/>
        <scheme val="minor"/>
      </rPr>
      <t>COM CUBA EM LOUÇA - REF.: 06.2</t>
    </r>
  </si>
  <si>
    <r>
      <t xml:space="preserve">BANCADA E ESPELHO EM GRANITO BRANCO CEARÁ CLASSIC (BANCADA ENCOSTO REBAIXADO ESPELHO H= 15CM), </t>
    </r>
    <r>
      <rPr>
        <b/>
        <sz val="11"/>
        <rFont val="Calibri"/>
        <family val="2"/>
        <scheme val="minor"/>
      </rPr>
      <t>COM CUBA EM LOUÇA - REF.: 06.3</t>
    </r>
  </si>
  <si>
    <r>
      <t>BANCADA E ESPELHO EM AÇO INOX. (AÇO 304) TIPO INDUSTRIAL (BANCADA ENCOSTO REBAIXADO ESPELHO       H= 15CM), COM</t>
    </r>
    <r>
      <rPr>
        <b/>
        <sz val="11"/>
        <rFont val="Calibri"/>
        <family val="2"/>
        <scheme val="minor"/>
      </rPr>
      <t xml:space="preserve"> CUBA EM AÇO INOX (CB-40)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- REF.: 06.3</t>
    </r>
  </si>
  <si>
    <r>
      <t xml:space="preserve">BANCADA E ESPELHO EM AÇO INOX. (AÇO 304) TIPO INDUSTRIAL (BANCADA ENCOSTO REBAIXADO ESPELHO      H= 15CM), </t>
    </r>
    <r>
      <rPr>
        <b/>
        <sz val="11"/>
        <rFont val="Calibri"/>
        <family val="2"/>
        <scheme val="minor"/>
      </rPr>
      <t>SEM CUBA</t>
    </r>
  </si>
  <si>
    <r>
      <t xml:space="preserve">BANCADA E ESPELHO EM AÇO INOX. (AÇO 304) TIPO INDUSTRIAL (BANCADA ENCOSTO REBAIXADO ESPELHO      H= 15CM), COM </t>
    </r>
    <r>
      <rPr>
        <b/>
        <sz val="11"/>
        <rFont val="Calibri"/>
        <family val="2"/>
        <scheme val="minor"/>
      </rPr>
      <t>CUBA DE EXPURGO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(CB-50) - REF.: 06.3</t>
    </r>
  </si>
  <si>
    <t>GUARDA DE EQUIPAMENTOS</t>
  </si>
  <si>
    <t>CORRIMÃO</t>
  </si>
  <si>
    <t>RESUMO CORRIMÃO</t>
  </si>
  <si>
    <t>RAMPAS CIRCULAÇÃO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</si>
  <si>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</si>
  <si>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</si>
  <si>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</si>
  <si>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</si>
  <si>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</si>
  <si>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</si>
  <si>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</si>
  <si>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</si>
  <si>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</si>
  <si>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</si>
  <si>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</si>
  <si>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</si>
  <si>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</si>
  <si>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</si>
  <si>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</si>
  <si>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</si>
  <si>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</si>
  <si>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</si>
  <si>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</si>
  <si>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</si>
  <si>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</si>
  <si>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</si>
  <si>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</si>
  <si>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</si>
  <si>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</si>
  <si>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</si>
  <si>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</si>
  <si>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</si>
  <si>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</si>
  <si>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</si>
  <si>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</si>
  <si>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</si>
  <si>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</si>
  <si>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</si>
  <si>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</si>
  <si>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</si>
  <si>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</si>
  <si>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</si>
  <si>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</si>
  <si>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</si>
  <si>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</si>
  <si>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</si>
  <si>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</si>
  <si>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</si>
  <si>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</si>
  <si>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</si>
  <si>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</si>
  <si>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</si>
  <si>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</si>
  <si>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</si>
  <si>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</si>
  <si>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</si>
  <si>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</si>
  <si>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</si>
  <si>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</si>
  <si>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</si>
  <si>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</si>
  <si>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</si>
  <si>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</si>
  <si>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</si>
  <si>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</si>
  <si>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</si>
  <si>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</si>
  <si>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</si>
  <si>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</si>
  <si>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</si>
  <si>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</si>
  <si>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</si>
  <si>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</si>
  <si>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</si>
  <si>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</si>
  <si>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</si>
  <si>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</si>
  <si>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</si>
  <si>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</si>
  <si>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</si>
  <si>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</si>
  <si>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</si>
  <si>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</si>
  <si>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</si>
  <si>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</si>
  <si>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</si>
  <si>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</si>
  <si>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</si>
  <si>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</si>
  <si>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</si>
  <si>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</si>
  <si>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</si>
  <si>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 xml:space="preserve">RESUMO ALVENARIAS 9CM  </t>
  </si>
  <si>
    <t xml:space="preserve">RESUMO ALVENARIAS 19CM  </t>
  </si>
  <si>
    <t>SANITÁRIO FUNCIONÁRIOS FEM.</t>
  </si>
  <si>
    <t>SANITÁRIO FUNCIONÁRIOS MASC.</t>
  </si>
  <si>
    <t>SANIT./VEST. FEMININO</t>
  </si>
  <si>
    <t>SANIT./VEST. MASCULINO</t>
  </si>
  <si>
    <t>A90</t>
  </si>
  <si>
    <t>BHO. ACOMP. MASC.</t>
  </si>
  <si>
    <t>BHO. ACOMP. FEM.</t>
  </si>
  <si>
    <t>BHO. REPOUSO EMFERM. MASC.</t>
  </si>
  <si>
    <t>BHO. REPOUSO EMFERM. FEM.</t>
  </si>
  <si>
    <t>BOXES</t>
  </si>
  <si>
    <t>BHO. REPOUSO MASC.</t>
  </si>
  <si>
    <t>BHO. REPOUSO FEM.</t>
  </si>
  <si>
    <t>VEST. FEM.</t>
  </si>
  <si>
    <t>BHO. MASC. ACOMP.</t>
  </si>
  <si>
    <t>BHO. FEM. ACOMP.</t>
  </si>
  <si>
    <t>BANHEIRO REPOUSO</t>
  </si>
  <si>
    <t>BHO. REPOUSO 01</t>
  </si>
  <si>
    <t>BHO. REPOUSO 02</t>
  </si>
  <si>
    <t>BANHEIRO REPOUSO FEM.</t>
  </si>
  <si>
    <t>BANHEIRO REPOUSO MASC.</t>
  </si>
  <si>
    <t>BHO. PLANTÃO MÉD. MASC.</t>
  </si>
  <si>
    <t>BHO. PLANTÃO MÉD. FEM.</t>
  </si>
  <si>
    <t>BHO. /VEST. MASC.</t>
  </si>
  <si>
    <t>BHO. /VEST. FEM.</t>
  </si>
  <si>
    <t>BANHEIRO PLANTONISTA</t>
  </si>
  <si>
    <t>BATE MACAS</t>
  </si>
  <si>
    <t>A93</t>
  </si>
  <si>
    <t>A96</t>
  </si>
  <si>
    <t>A101</t>
  </si>
  <si>
    <t>A105</t>
  </si>
  <si>
    <t>A91</t>
  </si>
  <si>
    <t>A92</t>
  </si>
  <si>
    <t>A94</t>
  </si>
  <si>
    <t>A95</t>
  </si>
  <si>
    <t>A97</t>
  </si>
  <si>
    <t>A98</t>
  </si>
  <si>
    <t>A99</t>
  </si>
  <si>
    <t>A100</t>
  </si>
  <si>
    <t>A103</t>
  </si>
  <si>
    <t>A104</t>
  </si>
  <si>
    <t>A106</t>
  </si>
  <si>
    <t>A107</t>
  </si>
  <si>
    <t>A108</t>
  </si>
  <si>
    <t>A109</t>
  </si>
  <si>
    <t>A110</t>
  </si>
  <si>
    <t>A102</t>
  </si>
  <si>
    <t>ÁREA PESAGEM/RECOLHIMENTO RESÍDUOS</t>
  </si>
  <si>
    <t xml:space="preserve">CASA DE MÁQ./LABORATÓRIO </t>
  </si>
  <si>
    <t xml:space="preserve"> CASA DE MÁQ./LADO EXTERNO</t>
  </si>
  <si>
    <t>CLASSIFICAÇÃO DISTRIBUIÇÃO AMOSTRAS</t>
  </si>
  <si>
    <t>7.o PAVIMENTO</t>
  </si>
  <si>
    <t>PRANCHA 23/51</t>
  </si>
  <si>
    <t>SALA MULTIPROFISSIONAL</t>
  </si>
  <si>
    <t>REPOUSO FUNCIONÁRIOS</t>
  </si>
  <si>
    <t>DEPÓSITO SAL</t>
  </si>
  <si>
    <t>HIGIENIZAÇÃO ARMAZENAGEM</t>
  </si>
  <si>
    <t>TRATAMENTO DE ÁGUA GENIUS</t>
  </si>
  <si>
    <t>TRATAMENTO DE ÁGUA STDAH</t>
  </si>
  <si>
    <t>TERRAÇO/CX. D`ÁGUA</t>
  </si>
  <si>
    <t>CAIXA D`ÁGUA</t>
  </si>
  <si>
    <t>8.o PAVIMENTO</t>
  </si>
  <si>
    <t>CASA DE MÁQUINAS/ELEVADORES</t>
  </si>
  <si>
    <t>DIVISÓRIAS BANHEIROS</t>
  </si>
  <si>
    <t>DIVISÓRIA 8CM</t>
  </si>
  <si>
    <t>RESUMO GERAL</t>
  </si>
  <si>
    <t>A118</t>
  </si>
  <si>
    <t>A117</t>
  </si>
  <si>
    <t>A119</t>
  </si>
  <si>
    <t>A122</t>
  </si>
  <si>
    <t>A112</t>
  </si>
  <si>
    <t>A113</t>
  </si>
  <si>
    <t>A115</t>
  </si>
  <si>
    <t>A120</t>
  </si>
  <si>
    <t>A123</t>
  </si>
  <si>
    <t>A124</t>
  </si>
  <si>
    <t>A111</t>
  </si>
  <si>
    <t>A114</t>
  </si>
  <si>
    <t>A116</t>
  </si>
  <si>
    <t>A121</t>
  </si>
  <si>
    <t>ALVENARIAS INTERNAS</t>
  </si>
  <si>
    <t>ALVENARIAS EXTERNAS</t>
  </si>
  <si>
    <t>7.o PAV.</t>
  </si>
  <si>
    <t>PORTA DE CORRER PADRÃO, PARANÁ REVESTIDA EM LAMINADO MELAMÍNICO TEXTURIZADO (FÓRMICA) NO PADRÃO MOLDAU (M848) - COM ARREMATE DOS TOPOS EM CANALETA DE ALUMÍNIO ANODIZADO 1/2" (COR NATURAL);  VISOR EM VIDRO LAMINADO 6MM INCOLOR; FORRAMENTO E ALIZARES (EXECUTAR ALIZARES PLANOS - 7CM) - 1,30X2,10M</t>
  </si>
  <si>
    <t>CIRC. SHAFT</t>
  </si>
  <si>
    <t>VER</t>
  </si>
  <si>
    <t>TERRAÇO</t>
  </si>
  <si>
    <t>PORTA DE CORRER PADRÃO, PARANÁ REVESTIDA EM LAMINADO MELAMÍNICO TEXTURIZADO (FÓRMICA) NO PADRÃO MOLDAU (M848) - COM ARREMATE DOS TOPOS EM CANALETA DE ALUMÍNIO ANODIZADO 1/2" (COR NATURAL);  VISOR EM VIDRO LAMINADO 6MM INCOLOR; FORRAMENTO E ALIZARES (EXECUTAR ALIZARES PLANOS - 7CM) - 1,60X2,10M</t>
  </si>
  <si>
    <t>PORTA DE GIRO PADRÃO, PARANÁ REVESTIDA EM LAMINADO MELAMÍNICO TEXTURIZADO (FÓRMICA) NO PADRÃO MOLDAU (M848) - COM ARREMATE DOS TOPOS EM CANALETA DE ALUMÍNIO ANODIZADO 1/2" (COR NATURAL);  VISOR EM VIDRO LAMINADO 6MM INCOLOR; FORRAMENTO E ALIZARES (EXECUTAR ALIZARES PLANOS - 7CM) - 1,20X2,10M</t>
  </si>
  <si>
    <t>PORTA DE GIRO PADRÃO, PARANÁ REVESTIDA EM LAMINADO MELAMÍNICO TEXTURIZADO (FÓRMICA) NO PADRÃO MOLDAU (M848) - COM ARREMATE DOS TOPOS EM CANALETA DE ALUMÍNIO ANODIZADO 1/2" (COR NATURAL);  VISOR EM VIDRO LAMINADO 6MM INCOLOR; FORRAMENTO E ALIZARES (EXECUTAR ALIZARES PLANOS - 7CM) - 1,60X2,10M</t>
  </si>
  <si>
    <t>P7/CA</t>
  </si>
  <si>
    <t>PORTA DE GIRO PADRÃO, PARANÁ REVESTIDA EM LAMINADO MELAMÍNICO TEXTURIZADO (FÓRMICA) NO PADRÃO MOLDAU (M848) - COM ARREMATE DOS TOPOS EM CANALETA DE ALUMÍNIO ANODIZADO 1/2" (COR NATURAL);  VISOR EM VIDRO LAMINADO 6MM INCOLOR; FORRAMENTO E ALIZARES (EXECUTAR ALIZARES PLANOS - 7CM) - 1,60X2,10M C/ CONTROLE DE ACESSO</t>
  </si>
  <si>
    <t>PORTA DE CORRER PADRÃO, PARANÁ REVESTIDA EM LAMINADO MELAMÍNICO TEXTURIZADO (FÓRMICA) NO PADRÃO MOLDAU (M848) - COM ARREMATE DOS TOPOS EM CANALETA DE ALUMÍNIO ANODIZADO 1/2" (COR NATURAL);  VISOR EM VIDRO LAMINADO 6MM INCOLOR; FORRAMENTO E ALIZARES (EXECUTAR ALIZARES PLANOS - 7CM) PORTA C/ CONTROLE DE ACESSO - 1,30X2,10M</t>
  </si>
  <si>
    <t>PORTA DE CORRER PADRÃO, PARANÁ REVESTIDA EM LAMINADO MELAMÍNICO TEXTURIZADO (FÓRMICA) NO PADRÃO MOLDAU (M848) - COM ARREMATE DOS TOPOS EM CANALETA DE ALUMÍNIO ANODIZADO 1/2" (COR NATURAL);  VISOR EM VIDRO LAMINADO 6MM INCOLOR; FORRAMENTO E ALIZARES (EXECUTAR ALIZARES PLANOS - 7CM) PORTA C/ CONTROLE DE ACESSO - 1,60X2,10M</t>
  </si>
  <si>
    <t>PA1/PA2</t>
  </si>
  <si>
    <t>P4/P5</t>
  </si>
  <si>
    <t>PA2/PA3//PA5</t>
  </si>
  <si>
    <t>P1/P2</t>
  </si>
  <si>
    <t>P2/P3</t>
  </si>
  <si>
    <t>P3/P4</t>
  </si>
  <si>
    <t>PORTA DE GIRO PADRÃO, PARANÁ REVESTIDA EM LAMINADO MELAMÍNICO TEXTURIZADO (FÓRMICA) NO PADRÃO MOLDAU (M848) - COM ARREMATE DOS TOPOS EM CANALETA DE ALUMÍNIO ANODIZADO 1/2" (COR NATURAL);  VISOR EM VIDRO LAMINADO 6MM INCOLOR; FORRAMENTO E ALIZARES (EXECUTAR ALIZARES PLANOS - 7CM) PORTA C/ COMANDO DE ACESSO - 1,10X2,10M</t>
  </si>
  <si>
    <t>PORTA DUPLA DE GIRO PADRÃO, PARANÁ REVESTIDA EM LAMINADO MELAMÍNICO TEXTURIZADO (FÓRMICA) NO PADRÃO MOLDAU (M848) - COM ARREMATE DOS TOPOS EM CANALETA DE ALUMÍNIO ANODIZADO 1/2" (COR NATURAL);  VISOR EM VIDRO LAMINADO 6MM INCOLOR; FORRAMENTO E ALIZARES (EXECUTAR ALIZARES PLANOS - 7CM) - 1,60X2,10M</t>
  </si>
  <si>
    <t>PORTA DE CORRER DUPLA EM CHAPA DE ALUMÍNIO E VENEZIANAS - PINTURA ELETROSTÁTICA NA COR BRANCA - 3,04X2,60M</t>
  </si>
  <si>
    <t>LAJE DE TAMPA CX. D`ÁGUA</t>
  </si>
  <si>
    <t>LAJE IMPERMEABILIZADA</t>
  </si>
  <si>
    <t>TERRAÇO 7.o PAV.</t>
  </si>
  <si>
    <t>PRANCHA 23/251</t>
  </si>
  <si>
    <t>TELHA METÁLICA</t>
  </si>
  <si>
    <t xml:space="preserve">TELHA </t>
  </si>
  <si>
    <t>CALHA METÁLICA 61CM</t>
  </si>
  <si>
    <t>CALHA METÁLICA  91CM</t>
  </si>
  <si>
    <t>CUMEEIRA METÁLICA</t>
  </si>
  <si>
    <t>A1 (CX. D`ÁGUA)</t>
  </si>
  <si>
    <t>A2 (CX. D`ÁGUA)</t>
  </si>
  <si>
    <t>ESCADA TIPO MARINHEIRO</t>
  </si>
  <si>
    <t>CHAPIM PRÉ-MOLDADO 29CM</t>
  </si>
  <si>
    <t>HIGIENIZAÇÃO/ARMAZENAGEM</t>
  </si>
  <si>
    <t>ESTÁ NA ÁREA EXTERNA (FACHADA)</t>
  </si>
  <si>
    <t>PORTAS DIVISÓRIAS BANHEIROS</t>
  </si>
  <si>
    <t>PORTA DIVISÓRIA 0,60X1,60M</t>
  </si>
  <si>
    <t xml:space="preserve">RESUMO ALVENARIAS 14CM  </t>
  </si>
  <si>
    <t>1.o PAVIMENTO (BLOCO 3)</t>
  </si>
  <si>
    <t>1.o PAVIMENTO (BLOCO 2)</t>
  </si>
  <si>
    <t>ALVENARIA DE BLOCO DE CONCRETO 19CM</t>
  </si>
  <si>
    <t xml:space="preserve">ALVENARIA DE BLOCO DE CONCRETO 19CM </t>
  </si>
  <si>
    <t xml:space="preserve">ALVENARIA DE BLOCO DE CONCRETO 14CM </t>
  </si>
  <si>
    <t xml:space="preserve">ALV 9 (DRYWALL) </t>
  </si>
  <si>
    <t xml:space="preserve">ALV 9 (DRYWALL VERDE) </t>
  </si>
  <si>
    <t>ALV 19 (BLOCO DE CONCRETO)</t>
  </si>
  <si>
    <t>ALV 14 (BLOCO DE CONCRETO)</t>
  </si>
  <si>
    <t>ALVENARIA DE TIJOLO CERÂMICO 9CM</t>
  </si>
  <si>
    <t xml:space="preserve">ALVENARIA DE DRYWALL (VERDE)  9CM  </t>
  </si>
  <si>
    <t>ALVENARIA DE DRYWALL  9CM</t>
  </si>
  <si>
    <t>ALVENARIA DE TIJOLO CERÂMICO 19CM</t>
  </si>
  <si>
    <t xml:space="preserve">ALVENARIA DE TIJOLO CERÂMICO 9CM </t>
  </si>
  <si>
    <t xml:space="preserve">ALVENARIA DE DRYWALL  9CM </t>
  </si>
  <si>
    <t xml:space="preserve">ALVENARIA DE TIJOLO CERÂMICO 19CM </t>
  </si>
  <si>
    <t xml:space="preserve">ALVENARIA DE DRYWALL (VERDE)  9CM </t>
  </si>
  <si>
    <t xml:space="preserve">ALVENARIA DE TIJOLO CERÂMICO 14CM </t>
  </si>
  <si>
    <t>ALVENARIA DE DRYWALL (VERDE)  9CM</t>
  </si>
  <si>
    <t xml:space="preserve">ALVENARIA DE TIJOLO CERÂMICO  9CM </t>
  </si>
  <si>
    <t>HALL ELEVADORES</t>
  </si>
  <si>
    <t>ESPERA</t>
  </si>
  <si>
    <t>CINTAS 1.o. PAV.</t>
  </si>
  <si>
    <t>CINTAS 2.o. PAV.</t>
  </si>
  <si>
    <t>CINTAS 3.o. PAV.</t>
  </si>
  <si>
    <t>CINTAS 4.o. PAV.</t>
  </si>
  <si>
    <t>CINTAS 5.o. PAV.</t>
  </si>
  <si>
    <t>CINTAS 6.o. PAV.</t>
  </si>
  <si>
    <t>CINTAS 7.o. PAV.</t>
  </si>
  <si>
    <t>CINTAS 8.o. PAV.</t>
  </si>
  <si>
    <t>CINTAS TÉRREO</t>
  </si>
  <si>
    <t>CINTA DE AMARRAÇÃO P/ ALVENARIA DE TIJ. CERÂMICO 9CM</t>
  </si>
  <si>
    <t>CINTA DE AMARRAÇÃO P/ ALVENARIA DE TIJ. CERÂMICO 19CM</t>
  </si>
  <si>
    <t>CINTA DE AMARRAÇÃO P/ ALVENARIA DE TIJ. CERÂMICO 14CM</t>
  </si>
  <si>
    <t>NÃO ENCONTREI</t>
  </si>
  <si>
    <t xml:space="preserve">SOLEIRA EM GRANITO BRANCO CEARÁ CLASSIC       e= 15CM </t>
  </si>
  <si>
    <t>SOLEIRA EM GRANITO BRANCO CEARÁ CLASSIC       e= 5CM</t>
  </si>
  <si>
    <t>PF2/PF3</t>
  </si>
  <si>
    <t>ALVENARIA DE TIJOLO CERÂMICO 14CM</t>
  </si>
  <si>
    <t>ELEVADOR 05</t>
  </si>
  <si>
    <t>ELEVADOR 06</t>
  </si>
  <si>
    <t>VAZIO</t>
  </si>
  <si>
    <t>PRANCHA 26/26</t>
  </si>
  <si>
    <t>ESCADA 3 (ENTRE BLOCO 1 e BLOCO 2)</t>
  </si>
  <si>
    <t>RODAPÉ (ENTRE BLOCO 1 e BLOCO 2)</t>
  </si>
  <si>
    <t>3.o pav./4.o pav.</t>
  </si>
  <si>
    <t>4.o pav./5.o pav.</t>
  </si>
  <si>
    <t>5.o pav./6.o pav.</t>
  </si>
  <si>
    <t>6.o pav./7.o pav.</t>
  </si>
  <si>
    <t>7.o pav./8.o pav.</t>
  </si>
  <si>
    <t>8.o PAV.</t>
  </si>
  <si>
    <t>PORTA DE CORRER PADRÃO, PARANÁ REVESTIDA EM LAMINADO MELAMÍNICO TEXTURIZADO (FÓRMICA) NO PADRÃO MOLDAU (M848) - COM ARREMATE DOS TOPOS EM CANALETA DE ALUMÍNIO ANODIZADO 1/2" (COR NATURAL); VISOR EM VIDRO LAMINADO 6MM INCOLOR, FORRAMENTO E ALIZARES (EXECUTAR ALIZARES PLANOS - 7CM) PORTA C/ CONTROLE DE ACESSO - 1,50X2,10M</t>
  </si>
  <si>
    <t>PA1/PA4/PA5/  PA6/PA8</t>
  </si>
  <si>
    <r>
      <t>PORTA CORTA FOGO EM CHAPA DE AÇO COM FUNDO EM GALVITE E PINTURA ELETROSTÁTICA, BATENTE METÁLICO EM CHAPA DE AÇO DOBRADA N</t>
    </r>
    <r>
      <rPr>
        <sz val="11"/>
        <rFont val="Calibri"/>
        <family val="2"/>
      </rPr>
      <t>º16, COM PINTURA ESMALTE SINTÉTICO (COR BRANCO) - COM DOBRADIÇA HELICOIDAL PARA PORTA CORTA FOGO, BARRA ANTIPÂNICO E SELECIONADOR DE FOLHA DE PORTA MECÂNICO E MOLA AÉREA - 1,20X2,10M</t>
    </r>
  </si>
  <si>
    <t>PF1/PF2</t>
  </si>
  <si>
    <t>ESCADA (ENTRE BLOCO 1 e BLOCO 2)</t>
  </si>
  <si>
    <t>A125</t>
  </si>
  <si>
    <t>A126</t>
  </si>
  <si>
    <t>A127</t>
  </si>
  <si>
    <t>ESCADA (BLOCO 2 e BLOCO 3)</t>
  </si>
  <si>
    <r>
      <t>DATA: JULHO</t>
    </r>
    <r>
      <rPr>
        <sz val="11"/>
        <rFont val="Calibri"/>
        <family val="2"/>
      </rPr>
      <t>/2024</t>
    </r>
  </si>
  <si>
    <t>PERÍMETRO</t>
  </si>
  <si>
    <t>VOLUME</t>
  </si>
  <si>
    <t>KILOM.</t>
  </si>
  <si>
    <t>(m3)</t>
  </si>
  <si>
    <t>(km)</t>
  </si>
  <si>
    <t>PRELIMINARES</t>
  </si>
  <si>
    <t>LIMPEZA DO TERRENO</t>
  </si>
  <si>
    <t>LOCAÇÃO DA OBRA:</t>
  </si>
  <si>
    <t>BARRACÃO PARA DEPOSITO</t>
  </si>
  <si>
    <t>PLACA DA OBRA</t>
  </si>
  <si>
    <t>TAPUME DA OBRA</t>
  </si>
  <si>
    <t>LIGAÇÕES PROVISÓRIAS:</t>
  </si>
  <si>
    <t>ÁGUA E ESGOTO</t>
  </si>
  <si>
    <t>LUZ E FORÇA</t>
  </si>
  <si>
    <t xml:space="preserve">ÁREA TOTAL CONSTRUÍDA </t>
  </si>
  <si>
    <t>PA7</t>
  </si>
  <si>
    <t>PORTA DE GIRO 2 FOLHAS EM  CHAPA DE ALUMÍNIO E VENEZIANAS - PINTURA ELETROSTÁTICA NA COR BRANCA - 2,50X2,10M</t>
  </si>
  <si>
    <t>ALTURA/   COMP.</t>
  </si>
  <si>
    <t>CHAPIM PRÉ-MOLDADO 25CM</t>
  </si>
  <si>
    <t>IMPERMEABILIZAÇÃO</t>
  </si>
  <si>
    <t>PISO IMPERM.</t>
  </si>
  <si>
    <t>PAREDE IMPERM.</t>
  </si>
  <si>
    <t>ÁREA (M2)</t>
  </si>
  <si>
    <t>C. DE PROTEÇÃO</t>
  </si>
  <si>
    <t>(M2)</t>
  </si>
  <si>
    <t>QUANT.</t>
  </si>
  <si>
    <t>MANTA ASFALTICA 4 MM POLIÉSTER TIPOIII - COBERTA</t>
  </si>
  <si>
    <t>PROTEÇÃO SIMPLES</t>
  </si>
  <si>
    <t>REVESTIMENTO EXTERNO</t>
  </si>
  <si>
    <t>Prancha</t>
  </si>
  <si>
    <t>PINTURA ACRÍLICA P/ ÁREA EXTERNA (CINZA CLARO)</t>
  </si>
  <si>
    <t>PRANCHA 02/74</t>
  </si>
  <si>
    <t>PRANCHA 03/74</t>
  </si>
  <si>
    <t>PRANCHA 46/74</t>
  </si>
  <si>
    <t>SHAFT EXAUSTÃO</t>
  </si>
  <si>
    <t>GERADORES</t>
  </si>
  <si>
    <t>CIRC.</t>
  </si>
  <si>
    <t>TRAFO 1</t>
  </si>
  <si>
    <t>TRAFO 2</t>
  </si>
  <si>
    <t>TRAFO 3</t>
  </si>
  <si>
    <t>ALVENARIA INTERNA</t>
  </si>
  <si>
    <t>FACHADAS</t>
  </si>
  <si>
    <t xml:space="preserve">LARG./       COMP. </t>
  </si>
  <si>
    <t>PORTA DE GIRO EM CHAPA DE ALUMÍNIO E VENEZIANAS VENTILADAS - PINTURA ELETROSTÁTICA NA COR BRANCA. SISTEMA ECOLINE 2.5 OU EQUIVALENTE TÉCNICO - 0,80X2,10M</t>
  </si>
  <si>
    <t>ACRESCENTOU</t>
  </si>
  <si>
    <t>PORTA DE GIRO VAZADA EM PERFIS DE ALUMÍNIO ANODIZADO NA COR BRONZE - 0,90X2,10M</t>
  </si>
  <si>
    <t>PA2</t>
  </si>
  <si>
    <t>PORTA DE CORRER 2 FOLHAS EM CHAPA DE ALUMÍNIO E VENEZIANAS VENTILADAS  - PINTURA ELETROSTÁTICA NA COR BRANCA. SISTEMA ECOLINE 2.5 OU EQUIVALENTE TÉCNICO - 1,48X1,90M</t>
  </si>
  <si>
    <t>PORTA DE CORRER 2 FOLHAS EM CHAPA DE ALUMÍNIO E VENEZIANAS VENTILADAS  - PINTURA ELETROSTÁTICA NA COR BRANCA. SISTEMA ECOLINE 2.5 OU EQUIVALENTE TÉCNICO - 1,63X1,90M</t>
  </si>
  <si>
    <t>PORTA DE CORRER 3 FOLHAS EM CHAPA DE ALUMÍNIO E VENEZIANAS VENTILADAS  - PINTURA ELETROSTÁTICA NA COR BRANCA. SISTEMA ECOLINE 2.5 OU EQUIVALENTE TÉCNICO - 1,63X1,90M</t>
  </si>
  <si>
    <t>PORTA DE CORRER 3 FOLHAS EM CHAPA DE ALUMÍNIO E VENEZIANAS VENTILADAS  - PINTURA ELETROSTÁTICA NA COR BRANCA. SISTEMA ECOLINE 2.5 OU EQUIVALENTE TÉCNICO - 2,35X1,90M</t>
  </si>
  <si>
    <t>PA8</t>
  </si>
  <si>
    <t>PORTA DE CORRER 3 FOLHAS EM CHAPA DE ALUMÍNIO E VENEZIANAS VENTILADAS  - PINTURA ELETROSTÁTICA NA COR BRANCA. SISTEMA ECOLINE 2.5 OU EQUIVALENTE TÉCNICO - 2,50X1,90M</t>
  </si>
  <si>
    <t>PORTA DE CORRER 4 FOLHAS EM CHAPA DE ALUMÍNIO E VENEZIANAS VENTILADAS  - PINTURA ELETROSTÁTICA NA COR BRANCA. SISTEMA ECOLINE 2.5 OU EQUIVALENTE TÉCNICO - 3,00X1,90M</t>
  </si>
  <si>
    <t>PORTA DE CORRER 4 FOLHAS EM CHAPA DE ALUMÍNIO E VENEZIANAS VENTILADAS  - PINTURA ELETROSTÁTICA NA COR BRANCA. SISTEMA ECOLINE 2.5 OU EQUIVALENTE TÉCNICO - 3,40X1,90M</t>
  </si>
  <si>
    <t>PA11</t>
  </si>
  <si>
    <t>PORTÃO DE CORRER VAZADO EM PERFIS DE ALUMÍNIO ANODIZADO NA COR BRONZE - 5,00X2,10M</t>
  </si>
  <si>
    <t>PA12</t>
  </si>
  <si>
    <t>PORTÃO VAZADO EM PERFIS DE ALUMÍNIO ANODIZADO NA COR BRONZE ( COM DUAS PORTAS DE GIRO) - 19,62X2,10M</t>
  </si>
  <si>
    <t>ESQUADRIA COM 2 FOLHAS (ABERTURA DE CORRER) EM ALUMÍNIO COM PINTURA ELETROSTÁTICA NA COR BRANCA E VIDRO LAMINADO 8MM FUMÊ - 2,00X2,10M</t>
  </si>
  <si>
    <t>ALTEROU VALOR</t>
  </si>
  <si>
    <t>PORTA DE CORRER 2 FOLHAS EM CHAPA DE ALUMÍNIO E VENEZIANAS VENTILADAS  - PINTURA ELETROSTÁTICA NA COR BRANCA. SISTEMA ECOLINE 2.5 OU EQUIVALENTE TÉCNICO - 1,48X2,50M</t>
  </si>
  <si>
    <t>PORTA DE CORRER 4 FOLHAS EM CHAPA DE ALUMÍNIO E VENEZIANAS VENTILADAS  - PINTURA ELETROSTÁTICA NA COR BRANCA. SISTEMA ECOLINE 2.5 OU EQUIVALENTE TÉCNICO - 3,00X2,50M</t>
  </si>
  <si>
    <t>PORTA DE CORRER 4 FOLHAS EM CHAPA DE ALUMÍNIO E VENEZIANAS VENTILADAS  - PINTURA ELETROSTÁTICA NA COR BRANCA. SISTEMA ECOLINE 2.5 OU EQUIVALENTE TÉCNICO - 3,40X2,50M</t>
  </si>
  <si>
    <t>PORTA DE CORRER 4 FOLHAS EM CHAPA DE ALUMÍNIO E VENEZIANAS VENTILADAS  - PINTURA ELETROSTÁTICA NA COR BRANCA. SISTEMA ECOLINE 2.5 OU EQUIVALENTE TÉCNICO - 3,21X1,90M</t>
  </si>
  <si>
    <t>ESTÁ NO PROJETO + NÃO ESTÁ NA LEGENDA</t>
  </si>
  <si>
    <t>GUICHÊ TIPO GUILHOTINA COM 2 FOLHAS EM VIDRO FLOAT INCOLOR 4MM: PEITORIL EM GRANITO BRANCO CEARÁ CLASSIC (POLIDO); SISTEMA FSA FISE OU EQUIVALENTE TÉCNICO - 0,80X1,00M</t>
  </si>
  <si>
    <t xml:space="preserve">MUDOU A ESPECIFICAÇÃO </t>
  </si>
  <si>
    <t>JANELA DE CORRER 2 FOLHAS EM VIDRO FLOAT INCOLOR 4MM E ALUMÍNIO COM PINTURA ELETROSTÁTICA NA COR BRANCA; SISTEMA ECOLINE 2.5 OU EQUIVALENTE TÉCNICO - 2,00X1,70M</t>
  </si>
  <si>
    <t>JANELA VISOR FIXO 2 FOLHAS DE VIDRO TEMPERADO INCOLOR 4MM E ESTRUTURA EM ALUMÍNIO BRANCO, PEITORIL EM GRANITO BRANCO CEARÁ CLASSIC (POLIDO); SISTEMA ECOLINE 2.5 OU EQUIVALENTE TÉCNICO - 1,80X1,00M</t>
  </si>
  <si>
    <t>PORTA DUPLA DE CORRER PADRÃO, PARANÁ REVESTIDA EM LAMINADO MELAMÍNICO TEXTURIZADO (FÓRMICA) NO PADRÃO MOLDAU (M848) - COM ARREMATE DOS TOPOS EM CANALETA DE ALUMÍNIO ANODIZADO 1/2" (COR NATURAL);  VISOR EM VIDRO LAMINADO 6MM INCOLOR; FORRAMENTO E ALIZARES (EXECUTAR ALIZARES PLANOS - 7CM) - 1,95X2,70M</t>
  </si>
  <si>
    <t>PORTA DE CORRER 4 FOLHAS EM CHAPA DE ALUMÍNIO E VENEZIANAS VENTILADAS  - PINTURA ELETROSTÁTICA NA COR BRANCA. SISTEMA ECOLINE 2.5 OU EQUIVALENTE TÉCNICO - 3,22X1,90M</t>
  </si>
  <si>
    <t>JANELA VISOR FIXO 3 FOLHAS DE VIDRO TEMPERADO INCOLOR 6MM E ESTRUTURA EM ALUMÍNIO BRANCO, PEITORIL EM GRANITO BRANCO CEARÁ CLASSIC (POLIDO); SISTEMA ECOLINE 2.5 OU EQUIVALENTE TÉCNICO - 1,50X1,00M</t>
  </si>
  <si>
    <t>JANELA VISOR FIXO 1 FOLHA DE VIDRO TEMPERADO INCOLOR 6MM E ESTRUTURA EM ALUMÍNIO BRANCO, PEITORIL EM GRANITO BRANCO CEARÁ CLASSIC (POLIDO); SISTEMA ECOLINE 2.5 OU EQUIVALENTE TÉCNICO - 1,00X1,00M</t>
  </si>
  <si>
    <t>JANELA VISOR FIXO 1 FOLHA DE VIDRO TEMPERADO INCOLOR 8MM E ESTRUTURA EM ALUMÍNIO BRANCO, SISTEMA ECOLINE 2.5 OU EQUIVALENTE TÉCNICO - 0,60X1,00M</t>
  </si>
  <si>
    <t>JANELA VISOR FIXO 2 FOLHAS DE VIDRO TEMPERADO INCOLOR 6MM E ESTRUTURA EM ALUMÍNIO BRANCO, SISTEMA ECOLINE 2.5 OU EQUIVALENTE TÉCNICO - 1,20X1,00M</t>
  </si>
  <si>
    <t>JANELA VISOR FIXO 3 FOLHAS DE VIDRO TEMPERADO INCOLOR 6MM E ESTRUTURA EM ALUMÍNIO BRANCO, SISTEMA ECOLINE 2.5 OU EQUIVALENTE TÉCNICO - 2,00X1,00M</t>
  </si>
  <si>
    <t>JANELA VISOR FIXO 4 FOLHAS DE VIDRO TEMPERADO INCOLOR 6MM E ESTRUTURA EM ALUMÍNIO BRANCO, SISTEMA ECOLINE 2.5 OU EQUIVALENTE TÉCNICO - 2,50X1,00M</t>
  </si>
  <si>
    <t>PORTA DUPLA DE CORRER PADRÃO, PARANÁ REVESTIDA EM LAMINADO MELAMÍNICO TEXTURIZADO (FÓRMICA) NO PADRÃO MOLDAU (M848) - COM ARREMATE DOS TOPOS EM CANALETA DE ALUMÍNIO ANODIZADO 1/2" (COR NATURAL);  VISOR EM VIDRO LAMINADO 6MM INCOLOR; FORRAMENTO E ALIZARES (EXECUTAR ALIZARES PLANOS - 7CM) - 2,50X2,70M</t>
  </si>
  <si>
    <t>ESQUADRIA COM 2 FOLHAS FIXAS E 2 DE GIRO EM VIDRO LAMINADO 10MM INCOLOR E ALUMÍNIO COM PINTURA ELETROSTÁTICA NA COR BRANCA; COM PELÍCULA JATEADA PADRÃO ZEBRADO. SISTEMA CHROMA 32 OU EQUIVALENTE TÉCNICO - 2,96X2,70M</t>
  </si>
  <si>
    <t>ESQUADRIA COM 2 FOLHAS FIXAS E 2 DE GIRO EM VIDRO LAMINADO 10MM INCOLOR E ALUMÍNIO COM PINTURA ELETROSTÁTICA NA COR BRANCA; COM PELÍCULA JATEADA PADRÃO ZEBRADO. SISTEMA CHROMA 32 OU EQUIVALENTE TÉCNICO - 3,00X2,70M</t>
  </si>
  <si>
    <t>PORTA DE CORRER 2 FOLHAS EM CHAPA DE ALUMÍNIO E VENEZIANAS VENTILADAS  - PINTURA ELETROSTÁTICA NA COR BRANCA. SISTEMA ECOLINE 2.5 OU EQUIVALENTE TÉCNICO - 1,50X1,90M</t>
  </si>
  <si>
    <t>PA2/PA4/PA6</t>
  </si>
  <si>
    <t>PA3/PA5/PA9</t>
  </si>
  <si>
    <t>JANELA VISOR FIXO 2 FOLHAS DE VIDRO TEMPERADO INCOLOR 4MM E ESTRUTURA EM ALUMÍNIO BRANCO, PEITORIL EM GRANITO BRANCO CEARÁ CLASSIC (POLIDO); SISTEMA ECOLINE 2.5 OU EQUIVALENTE TÉCNICO - 1,20X1,00M</t>
  </si>
  <si>
    <t>ESQUADRIA COM 2 FOLHAS DE CORRER EM VIDRO LAMINADO FUMÊ 6MM E ALUMÍNIO COM PINTURA ELETROSTÁTICA NA COR BRANCA; SISTEMA CHROMA 32 OU EQUIVALENTE TÉCNICO - 2,00X2,70M</t>
  </si>
  <si>
    <t>ESQUADRIA COM 2 FOLHAS DE CORRER EM VIDRO LAMINADO FUMÊ 6MM E ALUMÍNIO COM PINTURA ELETROSTÁTICA NA COR BRANCA; SISTEMA CHROMA 32 OU EQUIVALENTE TÉCNICO - 1,76X2,70M</t>
  </si>
  <si>
    <t>ESQUADRIA COM 2 FOLHAS DE CORRER EM VIDRO LAMINADO FUMÊ 6MM E ALUMÍNIO COM PINTURA ELETROSTÁTICA NA COR BRANCA; SISTEMA CHROMA 32 OU EQUIVALENTE TÉCNICO - 2,89X2,70M</t>
  </si>
  <si>
    <t>E4</t>
  </si>
  <si>
    <t>PORTA DE GIRO EM CHAPA DE ALUMÍNIO E VENEZIANAS VENTILADAS - PINTURA ELETROSTÁTICA NA COR BRANCA - 1,20X2,10M</t>
  </si>
  <si>
    <r>
      <t xml:space="preserve">PORTA DE </t>
    </r>
    <r>
      <rPr>
        <b/>
        <sz val="11"/>
        <color rgb="FF00B0F0"/>
        <rFont val="Calibri"/>
        <family val="2"/>
        <scheme val="minor"/>
      </rPr>
      <t xml:space="preserve">CORRER </t>
    </r>
    <r>
      <rPr>
        <sz val="11"/>
        <rFont val="Calibri"/>
        <family val="2"/>
        <scheme val="minor"/>
      </rPr>
      <t>PADRÃO, PARANÁ REVESTIDA EM LAMINADO MELAMÍNICO TEXTURIZADO (FÓRMICA) NO PADRÃO MOLDAU (M848) - COM ARREMATE DOS TOPOS EM CANALETA DE ALUMÍNIO ANODIZADO 1/2" (COR NATURAL);  VISOR EM VIDRO LAMINADO 6MM INCOLOR; FORRAMENTO E ALIZARES (EXECUTAR ALIZARES PLANOS - 7CM) PORTA C/ CONTROLE DE ACESSO - 2,28X2,10M</t>
    </r>
  </si>
  <si>
    <r>
      <t xml:space="preserve">PORTA DE </t>
    </r>
    <r>
      <rPr>
        <b/>
        <sz val="11"/>
        <color rgb="FF00B0F0"/>
        <rFont val="Calibri"/>
        <family val="2"/>
        <scheme val="minor"/>
      </rPr>
      <t>CORRER</t>
    </r>
    <r>
      <rPr>
        <sz val="11"/>
        <rFont val="Calibri"/>
        <family val="2"/>
        <scheme val="minor"/>
      </rPr>
      <t xml:space="preserve"> PADRÃO, PARANÁ REVESTIDA EM LAMINADO MELAMÍNICO TEXTURIZADO (FÓRMICA) NO PADRÃO MOLDAU (M848) - COM ARREMATE DOS TOPOS EM CANALETA DE ALUMÍNIO ANODIZADO 1/2" (COR NATURAL);  VISOR EM VIDRO LAMINADO 6MM INCOLOR; FORRAMENTO E ALIZARES (EXECUTAR ALIZARES PLANOS - 7CM) PORTA C/ CONTROLE DE ACESSO - 3,55X2,10M</t>
    </r>
  </si>
  <si>
    <t>PA1/PA2/PA3</t>
  </si>
  <si>
    <t>PA4/PA5/PA6/PA10</t>
  </si>
  <si>
    <t>ESQUADRIA COM 2 FOLHAS FIXAS E 1 DE CORRER EM VIDRO LAMINADO FUMÊ 10MM E ALUMÍNIO COM PINTURA ELETROSTÁTICA NA COR BRANCA; SISTEMA ECOLINE 2.5 OU EQUIVALENTE TÉCNICO - 2,53X2,10M</t>
  </si>
  <si>
    <t>ESQUADRIA COM 2 FOLHAS FIXAS E 1 DE GIRO EM VIDRO LAMINADO FUMÊ 10MM E ALUMÍNIO COM PINTURA ELETROSTÁTICA NA COR BRANCA; SISTEMA ECOLINE 2.5 OU EQUIVALENTE TÉCNICO - 2,53X2,70M</t>
  </si>
  <si>
    <t>ESQUADRIA COM 2 FOLHAS DE CORRER EM VIDRO LAMINADO INCOLOR 6MM E ALUMÍNIO COM PINTURA ELETROSTÁTICA NA COR BRANCA; SISTEMA CHROMA 32 OU EQUIVALENTE TÉCNICO - 2,60X2,70M</t>
  </si>
  <si>
    <t>ESQUADRIA COM 1 FOLHA FIXA E 2 FOLHAS DE CORRER EM VIDRO LAMINADO INCOLOR 6MM E A PINTURA ELETROSTÁTICA NA COR BRANCA; SISTEMA CHROMA 32 OU EQUIVALENTE TÉCNICO - 3,90X2,70M</t>
  </si>
  <si>
    <t>ESQUADRIA COM 2 FOLHAS DE CORRER EM VIDRO LAMINADO INCOLOR 6MM E ALUMÍNIO COM PINTURA ELETROSTÁTICA NA COR BRANCA; SISTEMA CHROMA 32 OU EQUIVALENTE TÉCNICO - 2,80X2,70M</t>
  </si>
  <si>
    <t>PORTA DE CORRER PADRÃO, PARANÁ REVESTIDA EM LAMINADO MELAMÍNICO TEXTURIZADO (FÓRMICA) NO PADRÃO MOLDAU (M848) - COM ARREMATE DOS TOPOS EM CANALETA DE ALUMÍNIO ANODIZADO 1/2" (COR NATURAL); FORRAMENTO E ALIZARES (EXECUTAR ALIZARES PLANOS - 7CM) PORTA C/ CONTROLE DE ACESSO - 0,90X2,10M</t>
  </si>
  <si>
    <t>GUICHÊ TIPO GUILHOTINA COM 2 FOLHAS EM VIDRO FLOAT INCOLOR 4MM: PEITORIL EM GRANITO BRANCO CEARÁ CLASSIC (POLIDO); SISTEMA FSA FISE OU EQUIVALENTE TÉCNICO - 0,60X1,00M</t>
  </si>
  <si>
    <t>PORTA DE GIRO PADRÃO, PARANÁ REVESTIDA EM LAMINADO MELAMÍNICO TEXTURIZADO (FÓRMICA) NO PADRÃO MOLDAU (M848) - COM ARREMATE DOS TOPOS EM CANALETA DE ALUMÍNIO ANODIZADO 1/2" (COR NATURAL); FORRAMENTO E ALIZARES (EXECUTAR ALIZARES PLANOS - 7CM) - 0,70X2,10M</t>
  </si>
  <si>
    <t>P1/P4</t>
  </si>
  <si>
    <t>P5</t>
  </si>
  <si>
    <t>PORTA DUPLA DE GIRO PADRÃO, PARANÁ REVESTIDA EM LAMINADO MELAMÍNICO TEXTURIZADO (FÓRMICA) NO PADRÃO MOLDAU (M848) - COM ARREMATE DOS TOPOS EM CANALETA DE ALUMÍNIO ANODIZADO 1/2" (COR NATURAL); FORRAMENTO E ALIZARES (EXECUTAR ALIZARES PLANOS - 7CM) - 1,60X2,10M</t>
  </si>
  <si>
    <t>PA1/PA3/PA4/PA7</t>
  </si>
  <si>
    <t>VIDRO FLOAT 4MM</t>
  </si>
  <si>
    <t>VIDRO TEMPERADO 4/6/8MM</t>
  </si>
  <si>
    <t>VIDRO LAMINADO FUMÊ 8MM</t>
  </si>
  <si>
    <t>VIDROS: LAMINADO e FLOAT</t>
  </si>
  <si>
    <t>VIDRO LAMINADO INCOLOR 6MM</t>
  </si>
  <si>
    <t>VIDRO LAMINADO INCOLOR 10MM</t>
  </si>
  <si>
    <t>VIDRO LAMINADO FUMÊ 6MM</t>
  </si>
  <si>
    <t>VIDRO LAMINADO FUMÊ 10MM</t>
  </si>
  <si>
    <t>VIDRO FLOAT INCOLOR 4MM</t>
  </si>
  <si>
    <t>VIDRO TEMPERADO INCOLOR 4MM</t>
  </si>
  <si>
    <t>VIDRO TEMPERADO INCOLOR 6MM</t>
  </si>
  <si>
    <t>VIDRO TEMPERADO INCOLOR 8MM</t>
  </si>
  <si>
    <t>PAINEL EM MDF DURATEX - LINHA ESSENCIAL WOOD - OASIS (PAREDE DE ENCOSTO DE LEITO)</t>
  </si>
  <si>
    <t>MANTA VINÍLICA TARKETT - LINHA IQ TORO SC - 3093107 (AZUL)</t>
  </si>
  <si>
    <t>MANTA VINÍLICA TARKETT - LINHA ECLIPSE PREMIUM - 21020645 (BRANCO)</t>
  </si>
  <si>
    <t>MANTA VINÍLICA TARKETT - LINHA iQ SURFACE - 21089092 (BEGE CLARO) DETALHES EM MANTAS VINÍLICAS TARKETT - LINHA IQ SURFACE - 21089095 (bege escuro) e Tarkett - linha iQ SURFACE - 21089074 (COLORIDO BEGE)</t>
  </si>
  <si>
    <t>MANTA VINÍLICA TARKETT - LINHA iQ SURFACE - 21089092 (BEGE CLARO) DETALHES EM MANTAS VINÍLICAS TARKETT - LINHA IQ SURFACE - 21089095 (bege escuro) e Tarkett - linha ECLIPSE PREMIUM - 21020975 (VERDE)</t>
  </si>
  <si>
    <t>MANTA VINÍLICA TARKETT - LINHA iQ SURFACE - 21089092 (BEGE CLARO) DETALHES EM MANTAS VINÍLICAS TARKETT - LINHA IQ SURFACE - 21089095 (bege escuro) e Tarkett - linha ECLIPSE PREMIUM - 21020979 (AZUL)</t>
  </si>
  <si>
    <t>MANTA VINÍLICA TARKETT - LINHA iQ SURFACE - 21089092 (BEGE CLARO) DETALHES EM MANTAS VINÍLICAS TARKETT - LINHA IQ SURFACE - 21089095 (bege escuro) e Tarkett - linha ECLIPSE PREMIUM - 21020978 (AZUL CLARO)</t>
  </si>
  <si>
    <t>ESTÁ NA LEGENDA + NÃO TEM NO PROJETO</t>
  </si>
  <si>
    <t>OBRA:</t>
  </si>
  <si>
    <t>INSTITUTO DE CIÊNCIAS MÉDICAS - ICM</t>
  </si>
  <si>
    <t>LOCAL:</t>
  </si>
  <si>
    <t>RUA MONSENHOR FURTADO, 1062 - PORANGABUÇU - FORTALEZA - CE</t>
  </si>
  <si>
    <t>DATA: ABRIL/2024</t>
  </si>
  <si>
    <t>VOL</t>
  </si>
  <si>
    <t>PAV. TÉRREO</t>
  </si>
  <si>
    <t>LOCAÇÃO BLOCO 3</t>
  </si>
  <si>
    <t>TOT. LOCAÇÃO</t>
  </si>
  <si>
    <t xml:space="preserve">MANTA VINÍLICA TARKETT - LINHA iQ SURFACE - 21089095 (BEGE ESCURO) </t>
  </si>
  <si>
    <t xml:space="preserve">MANTA VINÍLICA TARKETT - LINHA iQ SURFACE - 21089092 (BEGE CLARO) </t>
  </si>
  <si>
    <t>MANTA VINÍLICA TARKETT - LINHA ECLIPSE PREMIUM - 21020645 (AZUL)</t>
  </si>
  <si>
    <t xml:space="preserve">ALV 9 ( BLOCO DE CONCRETO) </t>
  </si>
  <si>
    <t xml:space="preserve">ALV 10 ( BLOCO CERÂMICO) </t>
  </si>
  <si>
    <t xml:space="preserve">ALV 20 ( BLOCO CERÂMICO) </t>
  </si>
  <si>
    <t xml:space="preserve">ALVENARIA DE BLOCO CONCRETO 14CM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</si>
</sst>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0;[Red]#,##0.00"/>
    <numFmt numFmtId="167" formatCode="_(* #,##0.000_);_(* \(#,##0.000\);_(* &quot;-&quot;??_);_(@_)"/>
    <numFmt numFmtId="168" formatCode="#,##0.0;[Red]#,##0.0"/>
    <numFmt numFmtId="169" formatCode="_(* #,##0.0000_);_(* \(#,##0.0000\);_(* &quot;-&quot;??_);_(@_)"/>
    <numFmt numFmtId="170" formatCode="_(* #,##0.00_);_(* \(#,##0.00\);_(* \-??_);_(@_)"/>
    <numFmt numFmtId="171" formatCode="_-* #,##0.00_-;\-* #,##0.00_-;_-* &quot;-&quot;???_-;_-@_-"/>
    <numFmt numFmtId="172" formatCode="0.000"/>
    <numFmt numFmtId="173" formatCode="_-* #,##0.00_-;\-* #,##0.00_-;_-* &quot;-&quot;????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4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2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</font>
    <font>
      <b/>
      <sz val="10.8"/>
      <name val="Calibri"/>
      <family val="2"/>
    </font>
    <font>
      <b/>
      <sz val="12"/>
      <color theme="1"/>
      <name val="Times New Roman"/>
      <family val="1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5" fillId="0" borderId="0"/>
    <xf numFmtId="9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925">
    <xf numFmtId="0" fontId="0" fillId="0" borderId="0" xfId="0"/>
    <xf numFmtId="0" fontId="0" fillId="0" borderId="14" xfId="0" applyBorder="1"/>
    <xf numFmtId="0" fontId="18" fillId="2" borderId="6" xfId="6" applyFont="1" applyFill="1" applyBorder="1" applyAlignment="1">
      <alignment horizontal="left" vertical="center"/>
    </xf>
    <xf numFmtId="167" fontId="13" fillId="2" borderId="4" xfId="17" applyNumberFormat="1" applyFont="1" applyFill="1" applyBorder="1" applyAlignment="1">
      <alignment horizontal="center" vertical="center"/>
    </xf>
    <xf numFmtId="164" fontId="13" fillId="2" borderId="4" xfId="17" applyFont="1" applyFill="1" applyBorder="1" applyAlignment="1">
      <alignment horizontal="center" vertical="center"/>
    </xf>
    <xf numFmtId="0" fontId="13" fillId="2" borderId="4" xfId="6" applyFont="1" applyFill="1" applyBorder="1" applyAlignment="1">
      <alignment horizontal="center" vertical="center"/>
    </xf>
    <xf numFmtId="169" fontId="13" fillId="2" borderId="4" xfId="17" applyNumberFormat="1" applyFont="1" applyFill="1" applyBorder="1" applyAlignment="1">
      <alignment horizontal="center" vertical="center"/>
    </xf>
    <xf numFmtId="164" fontId="12" fillId="2" borderId="5" xfId="17" applyFont="1" applyFill="1" applyBorder="1" applyAlignment="1">
      <alignment horizontal="center" vertical="center"/>
    </xf>
    <xf numFmtId="167" fontId="11" fillId="2" borderId="7" xfId="17" applyNumberFormat="1" applyFont="1" applyFill="1" applyBorder="1" applyAlignment="1">
      <alignment horizontal="center" vertical="center"/>
    </xf>
    <xf numFmtId="169" fontId="11" fillId="2" borderId="7" xfId="17" applyNumberFormat="1" applyFont="1" applyFill="1" applyBorder="1" applyAlignment="1">
      <alignment horizontal="center" vertical="center"/>
    </xf>
    <xf numFmtId="2" fontId="14" fillId="2" borderId="4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166" fontId="11" fillId="2" borderId="5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2" fontId="14" fillId="2" borderId="3" xfId="0" applyNumberFormat="1" applyFont="1" applyFill="1" applyBorder="1" applyAlignment="1">
      <alignment vertical="center"/>
    </xf>
    <xf numFmtId="166" fontId="14" fillId="2" borderId="3" xfId="0" applyNumberFormat="1" applyFont="1" applyFill="1" applyBorder="1" applyAlignment="1">
      <alignment vertical="center"/>
    </xf>
    <xf numFmtId="0" fontId="16" fillId="2" borderId="4" xfId="0" applyFont="1" applyFill="1" applyBorder="1"/>
    <xf numFmtId="166" fontId="14" fillId="2" borderId="4" xfId="0" applyNumberFormat="1" applyFont="1" applyFill="1" applyBorder="1" applyAlignment="1">
      <alignment vertical="center"/>
    </xf>
    <xf numFmtId="0" fontId="11" fillId="2" borderId="6" xfId="6" applyFont="1" applyFill="1" applyBorder="1" applyAlignment="1">
      <alignment horizontal="left" vertical="center"/>
    </xf>
    <xf numFmtId="0" fontId="11" fillId="2" borderId="6" xfId="0" applyFont="1" applyFill="1" applyBorder="1" applyAlignment="1">
      <alignment vertical="center"/>
    </xf>
    <xf numFmtId="168" fontId="14" fillId="2" borderId="4" xfId="8" applyNumberFormat="1" applyFont="1" applyFill="1" applyBorder="1" applyAlignment="1">
      <alignment horizontal="center" vertical="center"/>
    </xf>
    <xf numFmtId="166" fontId="11" fillId="2" borderId="4" xfId="0" applyNumberFormat="1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left" vertical="center"/>
    </xf>
    <xf numFmtId="167" fontId="13" fillId="2" borderId="1" xfId="17" applyNumberFormat="1" applyFont="1" applyFill="1" applyBorder="1" applyAlignment="1">
      <alignment horizontal="center" vertical="center"/>
    </xf>
    <xf numFmtId="164" fontId="13" fillId="2" borderId="1" xfId="17" applyFont="1" applyFill="1" applyBorder="1" applyAlignment="1">
      <alignment horizontal="center" vertical="center"/>
    </xf>
    <xf numFmtId="0" fontId="13" fillId="2" borderId="1" xfId="6" applyFont="1" applyFill="1" applyBorder="1" applyAlignment="1">
      <alignment horizontal="center" vertical="center"/>
    </xf>
    <xf numFmtId="169" fontId="13" fillId="2" borderId="1" xfId="17" applyNumberFormat="1" applyFont="1" applyFill="1" applyBorder="1" applyAlignment="1">
      <alignment horizontal="center" vertical="center"/>
    </xf>
    <xf numFmtId="165" fontId="14" fillId="2" borderId="7" xfId="23" applyNumberFormat="1" applyFont="1" applyFill="1" applyBorder="1" applyAlignment="1">
      <alignment horizontal="center" vertical="center" wrapText="1" shrinkToFit="1"/>
    </xf>
    <xf numFmtId="2" fontId="14" fillId="2" borderId="7" xfId="23" applyNumberFormat="1" applyFont="1" applyFill="1" applyBorder="1" applyAlignment="1">
      <alignment horizontal="right" vertical="center" wrapText="1" shrinkToFit="1"/>
    </xf>
    <xf numFmtId="2" fontId="14" fillId="2" borderId="9" xfId="21" applyNumberFormat="1" applyFont="1" applyFill="1" applyBorder="1" applyAlignment="1">
      <alignment horizontal="right" vertical="center" wrapText="1" shrinkToFit="1"/>
    </xf>
    <xf numFmtId="2" fontId="14" fillId="2" borderId="3" xfId="21" applyNumberFormat="1" applyFont="1" applyFill="1" applyBorder="1" applyAlignment="1">
      <alignment horizontal="right" vertical="center" wrapText="1" shrinkToFit="1"/>
    </xf>
    <xf numFmtId="165" fontId="14" fillId="2" borderId="3" xfId="23" applyNumberFormat="1" applyFont="1" applyFill="1" applyBorder="1" applyAlignment="1">
      <alignment horizontal="center" vertical="center" wrapText="1" shrinkToFit="1"/>
    </xf>
    <xf numFmtId="2" fontId="14" fillId="2" borderId="3" xfId="2" applyNumberFormat="1" applyFont="1" applyFill="1" applyBorder="1" applyAlignment="1">
      <alignment horizontal="right" vertical="center"/>
    </xf>
    <xf numFmtId="2" fontId="11" fillId="2" borderId="4" xfId="0" applyNumberFormat="1" applyFont="1" applyFill="1" applyBorder="1" applyAlignment="1">
      <alignment vertical="center"/>
    </xf>
    <xf numFmtId="0" fontId="18" fillId="2" borderId="13" xfId="6" applyFont="1" applyFill="1" applyBorder="1" applyAlignment="1">
      <alignment horizontal="left" vertical="center"/>
    </xf>
    <xf numFmtId="167" fontId="13" fillId="2" borderId="8" xfId="17" applyNumberFormat="1" applyFont="1" applyFill="1" applyBorder="1" applyAlignment="1">
      <alignment horizontal="center" vertical="center"/>
    </xf>
    <xf numFmtId="164" fontId="13" fillId="2" borderId="8" xfId="17" applyFont="1" applyFill="1" applyBorder="1" applyAlignment="1">
      <alignment horizontal="center" vertical="center"/>
    </xf>
    <xf numFmtId="0" fontId="13" fillId="2" borderId="8" xfId="6" applyFont="1" applyFill="1" applyBorder="1" applyAlignment="1">
      <alignment horizontal="center" vertical="center"/>
    </xf>
    <xf numFmtId="169" fontId="13" fillId="2" borderId="8" xfId="17" applyNumberFormat="1" applyFont="1" applyFill="1" applyBorder="1" applyAlignment="1">
      <alignment horizontal="center" vertical="center"/>
    </xf>
    <xf numFmtId="167" fontId="14" fillId="2" borderId="7" xfId="17" applyNumberFormat="1" applyFont="1" applyFill="1" applyBorder="1" applyAlignment="1">
      <alignment horizontal="center" vertical="center"/>
    </xf>
    <xf numFmtId="2" fontId="14" fillId="2" borderId="3" xfId="17" applyNumberFormat="1" applyFont="1" applyFill="1" applyBorder="1" applyAlignment="1">
      <alignment horizontal="right" vertical="center"/>
    </xf>
    <xf numFmtId="2" fontId="14" fillId="2" borderId="3" xfId="6" applyNumberFormat="1" applyFont="1" applyFill="1" applyBorder="1" applyAlignment="1">
      <alignment horizontal="right" vertical="center"/>
    </xf>
    <xf numFmtId="164" fontId="12" fillId="2" borderId="4" xfId="17" applyFont="1" applyFill="1" applyBorder="1" applyAlignment="1">
      <alignment horizontal="center" vertical="center"/>
    </xf>
    <xf numFmtId="166" fontId="14" fillId="2" borderId="7" xfId="17" applyNumberFormat="1" applyFont="1" applyFill="1" applyBorder="1" applyAlignment="1">
      <alignment horizontal="center" vertical="center"/>
    </xf>
    <xf numFmtId="166" fontId="14" fillId="2" borderId="3" xfId="6" applyNumberFormat="1" applyFont="1" applyFill="1" applyBorder="1" applyAlignment="1">
      <alignment horizontal="right" vertical="center"/>
    </xf>
    <xf numFmtId="167" fontId="11" fillId="2" borderId="3" xfId="17" applyNumberFormat="1" applyFont="1" applyFill="1" applyBorder="1" applyAlignment="1">
      <alignment horizontal="center"/>
    </xf>
    <xf numFmtId="164" fontId="11" fillId="2" borderId="3" xfId="17" applyFont="1" applyFill="1" applyBorder="1" applyAlignment="1">
      <alignment horizontal="center"/>
    </xf>
    <xf numFmtId="0" fontId="11" fillId="2" borderId="3" xfId="6" applyFont="1" applyFill="1" applyBorder="1" applyAlignment="1">
      <alignment horizontal="center"/>
    </xf>
    <xf numFmtId="166" fontId="14" fillId="2" borderId="3" xfId="0" applyNumberFormat="1" applyFont="1" applyFill="1" applyBorder="1" applyAlignment="1">
      <alignment horizontal="center" vertical="center"/>
    </xf>
    <xf numFmtId="166" fontId="11" fillId="2" borderId="4" xfId="0" applyNumberFormat="1" applyFont="1" applyFill="1" applyBorder="1" applyAlignment="1">
      <alignment vertical="center"/>
    </xf>
    <xf numFmtId="164" fontId="11" fillId="2" borderId="3" xfId="17" applyFont="1" applyFill="1" applyBorder="1" applyAlignment="1">
      <alignment horizontal="center" vertical="center"/>
    </xf>
    <xf numFmtId="166" fontId="14" fillId="2" borderId="3" xfId="17" applyNumberFormat="1" applyFont="1" applyFill="1" applyBorder="1" applyAlignment="1">
      <alignment horizontal="right" vertical="center"/>
    </xf>
    <xf numFmtId="2" fontId="14" fillId="2" borderId="3" xfId="0" applyNumberFormat="1" applyFont="1" applyFill="1" applyBorder="1" applyAlignment="1">
      <alignment horizontal="right" vertical="center"/>
    </xf>
    <xf numFmtId="167" fontId="11" fillId="2" borderId="3" xfId="17" applyNumberFormat="1" applyFont="1" applyFill="1" applyBorder="1" applyAlignment="1">
      <alignment horizontal="center" vertical="center"/>
    </xf>
    <xf numFmtId="169" fontId="11" fillId="2" borderId="3" xfId="17" applyNumberFormat="1" applyFont="1" applyFill="1" applyBorder="1" applyAlignment="1">
      <alignment horizontal="center" vertical="center"/>
    </xf>
    <xf numFmtId="0" fontId="13" fillId="3" borderId="4" xfId="6" applyFont="1" applyFill="1" applyBorder="1" applyAlignment="1">
      <alignment horizontal="center" vertical="center"/>
    </xf>
    <xf numFmtId="169" fontId="13" fillId="3" borderId="4" xfId="17" applyNumberFormat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left" vertical="center"/>
    </xf>
    <xf numFmtId="0" fontId="11" fillId="3" borderId="4" xfId="23" applyNumberFormat="1" applyFont="1" applyFill="1" applyBorder="1" applyAlignment="1">
      <alignment horizontal="center" vertical="center" wrapText="1"/>
    </xf>
    <xf numFmtId="164" fontId="12" fillId="3" borderId="4" xfId="17" applyFont="1" applyFill="1" applyBorder="1" applyAlignment="1">
      <alignment horizontal="center" vertical="center"/>
    </xf>
    <xf numFmtId="0" fontId="18" fillId="3" borderId="4" xfId="23" applyNumberFormat="1" applyFont="1" applyFill="1" applyBorder="1" applyAlignment="1">
      <alignment horizontal="center" vertical="center" wrapText="1"/>
    </xf>
    <xf numFmtId="166" fontId="14" fillId="0" borderId="3" xfId="17" applyNumberFormat="1" applyFont="1" applyFill="1" applyBorder="1" applyAlignment="1">
      <alignment horizontal="right" vertical="center"/>
    </xf>
    <xf numFmtId="166" fontId="14" fillId="2" borderId="7" xfId="17" applyNumberFormat="1" applyFont="1" applyFill="1" applyBorder="1" applyAlignment="1">
      <alignment horizontal="right" vertical="center"/>
    </xf>
    <xf numFmtId="2" fontId="14" fillId="0" borderId="6" xfId="6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0" fontId="11" fillId="2" borderId="7" xfId="6" applyFont="1" applyFill="1" applyBorder="1" applyAlignment="1">
      <alignment horizontal="center" vertical="center"/>
    </xf>
    <xf numFmtId="164" fontId="11" fillId="2" borderId="7" xfId="17" applyFont="1" applyFill="1" applyBorder="1" applyAlignment="1">
      <alignment horizontal="center" vertical="center"/>
    </xf>
    <xf numFmtId="0" fontId="3" fillId="0" borderId="0" xfId="0" applyFont="1"/>
    <xf numFmtId="0" fontId="8" fillId="0" borderId="0" xfId="2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10" fillId="0" borderId="0" xfId="0" applyFont="1"/>
    <xf numFmtId="2" fontId="14" fillId="0" borderId="3" xfId="0" applyNumberFormat="1" applyFont="1" applyBorder="1" applyAlignment="1">
      <alignment vertical="center"/>
    </xf>
    <xf numFmtId="2" fontId="14" fillId="2" borderId="7" xfId="21" applyNumberFormat="1" applyFont="1" applyFill="1" applyBorder="1" applyAlignment="1">
      <alignment horizontal="right" vertical="center" wrapText="1" shrinkToFit="1"/>
    </xf>
    <xf numFmtId="0" fontId="11" fillId="0" borderId="14" xfId="23" applyNumberFormat="1" applyFont="1" applyFill="1" applyBorder="1" applyAlignment="1">
      <alignment horizontal="center" vertical="center" wrapText="1"/>
    </xf>
    <xf numFmtId="166" fontId="11" fillId="2" borderId="6" xfId="0" applyNumberFormat="1" applyFont="1" applyFill="1" applyBorder="1" applyAlignment="1">
      <alignment vertical="center"/>
    </xf>
    <xf numFmtId="0" fontId="0" fillId="0" borderId="1" xfId="0" applyBorder="1"/>
    <xf numFmtId="0" fontId="14" fillId="0" borderId="3" xfId="0" applyFont="1" applyBorder="1" applyAlignment="1">
      <alignment vertical="center"/>
    </xf>
    <xf numFmtId="0" fontId="0" fillId="2" borderId="4" xfId="0" applyFill="1" applyBorder="1"/>
    <xf numFmtId="167" fontId="11" fillId="2" borderId="2" xfId="17" applyNumberFormat="1" applyFont="1" applyFill="1" applyBorder="1" applyAlignment="1">
      <alignment horizontal="center"/>
    </xf>
    <xf numFmtId="164" fontId="11" fillId="2" borderId="2" xfId="17" applyFont="1" applyFill="1" applyBorder="1" applyAlignment="1">
      <alignment horizontal="center"/>
    </xf>
    <xf numFmtId="0" fontId="11" fillId="2" borderId="2" xfId="6" applyFont="1" applyFill="1" applyBorder="1" applyAlignment="1">
      <alignment horizontal="center"/>
    </xf>
    <xf numFmtId="168" fontId="14" fillId="2" borderId="3" xfId="17" applyNumberFormat="1" applyFont="1" applyFill="1" applyBorder="1" applyAlignment="1">
      <alignment horizontal="center" vertical="center"/>
    </xf>
    <xf numFmtId="165" fontId="14" fillId="2" borderId="3" xfId="0" applyNumberFormat="1" applyFont="1" applyFill="1" applyBorder="1" applyAlignment="1">
      <alignment horizontal="center" vertical="center"/>
    </xf>
    <xf numFmtId="164" fontId="14" fillId="2" borderId="7" xfId="17" applyFont="1" applyFill="1" applyBorder="1" applyAlignment="1">
      <alignment horizontal="center" vertical="center"/>
    </xf>
    <xf numFmtId="168" fontId="14" fillId="2" borderId="7" xfId="17" applyNumberFormat="1" applyFont="1" applyFill="1" applyBorder="1" applyAlignment="1">
      <alignment horizontal="center" vertical="center"/>
    </xf>
    <xf numFmtId="164" fontId="14" fillId="2" borderId="4" xfId="17" applyFont="1" applyFill="1" applyBorder="1" applyAlignment="1">
      <alignment horizontal="center" vertical="center"/>
    </xf>
    <xf numFmtId="166" fontId="14" fillId="2" borderId="4" xfId="17" applyNumberFormat="1" applyFont="1" applyFill="1" applyBorder="1" applyAlignment="1">
      <alignment horizontal="right" vertical="center"/>
    </xf>
    <xf numFmtId="168" fontId="14" fillId="2" borderId="4" xfId="17" applyNumberFormat="1" applyFont="1" applyFill="1" applyBorder="1" applyAlignment="1">
      <alignment horizontal="center" vertical="center"/>
    </xf>
    <xf numFmtId="167" fontId="14" fillId="2" borderId="4" xfId="17" applyNumberFormat="1" applyFont="1" applyFill="1" applyBorder="1" applyAlignment="1">
      <alignment horizontal="center" vertical="center"/>
    </xf>
    <xf numFmtId="168" fontId="14" fillId="2" borderId="3" xfId="0" applyNumberFormat="1" applyFont="1" applyFill="1" applyBorder="1" applyAlignment="1">
      <alignment horizontal="center" vertical="center"/>
    </xf>
    <xf numFmtId="166" fontId="14" fillId="2" borderId="3" xfId="0" applyNumberFormat="1" applyFont="1" applyFill="1" applyBorder="1" applyAlignment="1">
      <alignment horizontal="right" vertical="center"/>
    </xf>
    <xf numFmtId="0" fontId="11" fillId="2" borderId="6" xfId="2" applyFont="1" applyFill="1" applyBorder="1" applyAlignment="1">
      <alignment vertical="center" wrapText="1"/>
    </xf>
    <xf numFmtId="166" fontId="13" fillId="2" borderId="4" xfId="2" applyNumberFormat="1" applyFont="1" applyFill="1" applyBorder="1" applyAlignment="1">
      <alignment horizontal="right" vertical="center"/>
    </xf>
    <xf numFmtId="166" fontId="12" fillId="2" borderId="4" xfId="0" applyNumberFormat="1" applyFont="1" applyFill="1" applyBorder="1" applyAlignment="1">
      <alignment vertical="center"/>
    </xf>
    <xf numFmtId="168" fontId="13" fillId="2" borderId="4" xfId="0" applyNumberFormat="1" applyFont="1" applyFill="1" applyBorder="1" applyAlignment="1">
      <alignment horizontal="center" vertical="center"/>
    </xf>
    <xf numFmtId="166" fontId="13" fillId="2" borderId="4" xfId="0" applyNumberFormat="1" applyFont="1" applyFill="1" applyBorder="1" applyAlignment="1">
      <alignment horizontal="right" vertical="center"/>
    </xf>
    <xf numFmtId="166" fontId="13" fillId="2" borderId="4" xfId="0" applyNumberFormat="1" applyFont="1" applyFill="1" applyBorder="1" applyAlignment="1">
      <alignment horizontal="center" vertical="center"/>
    </xf>
    <xf numFmtId="166" fontId="11" fillId="2" borderId="4" xfId="0" applyNumberFormat="1" applyFont="1" applyFill="1" applyBorder="1" applyAlignment="1">
      <alignment horizontal="right" vertical="center"/>
    </xf>
    <xf numFmtId="166" fontId="14" fillId="2" borderId="3" xfId="2" applyNumberFormat="1" applyFont="1" applyFill="1" applyBorder="1" applyAlignment="1">
      <alignment horizontal="right" vertical="center"/>
    </xf>
    <xf numFmtId="4" fontId="11" fillId="2" borderId="4" xfId="0" applyNumberFormat="1" applyFont="1" applyFill="1" applyBorder="1" applyAlignment="1">
      <alignment vertical="center"/>
    </xf>
    <xf numFmtId="164" fontId="12" fillId="2" borderId="7" xfId="17" applyFont="1" applyFill="1" applyBorder="1" applyAlignment="1">
      <alignment horizontal="center" vertical="center" wrapText="1"/>
    </xf>
    <xf numFmtId="164" fontId="12" fillId="2" borderId="3" xfId="17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vertical="center" wrapText="1"/>
    </xf>
    <xf numFmtId="2" fontId="14" fillId="0" borderId="14" xfId="21" applyNumberFormat="1" applyFont="1" applyFill="1" applyBorder="1" applyAlignment="1">
      <alignment horizontal="right" vertical="center" wrapText="1" shrinkToFit="1"/>
    </xf>
    <xf numFmtId="2" fontId="11" fillId="2" borderId="5" xfId="0" applyNumberFormat="1" applyFont="1" applyFill="1" applyBorder="1" applyAlignment="1">
      <alignment vertical="center"/>
    </xf>
    <xf numFmtId="4" fontId="14" fillId="2" borderId="3" xfId="0" applyNumberFormat="1" applyFont="1" applyFill="1" applyBorder="1" applyAlignment="1">
      <alignment horizontal="right" vertical="center"/>
    </xf>
    <xf numFmtId="168" fontId="14" fillId="2" borderId="3" xfId="11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right" vertical="center"/>
    </xf>
    <xf numFmtId="0" fontId="14" fillId="2" borderId="4" xfId="0" applyFont="1" applyFill="1" applyBorder="1"/>
    <xf numFmtId="4" fontId="14" fillId="2" borderId="3" xfId="2" applyNumberFormat="1" applyFont="1" applyFill="1" applyBorder="1" applyAlignment="1">
      <alignment horizontal="right" vertical="center"/>
    </xf>
    <xf numFmtId="4" fontId="14" fillId="2" borderId="13" xfId="0" applyNumberFormat="1" applyFont="1" applyFill="1" applyBorder="1" applyAlignment="1">
      <alignment vertical="center"/>
    </xf>
    <xf numFmtId="169" fontId="11" fillId="2" borderId="2" xfId="17" applyNumberFormat="1" applyFont="1" applyFill="1" applyBorder="1" applyAlignment="1">
      <alignment horizontal="center"/>
    </xf>
    <xf numFmtId="167" fontId="12" fillId="2" borderId="1" xfId="17" applyNumberFormat="1" applyFont="1" applyFill="1" applyBorder="1" applyAlignment="1">
      <alignment horizontal="center"/>
    </xf>
    <xf numFmtId="164" fontId="12" fillId="2" borderId="1" xfId="17" applyFont="1" applyFill="1" applyBorder="1" applyAlignment="1">
      <alignment horizontal="center"/>
    </xf>
    <xf numFmtId="0" fontId="12" fillId="2" borderId="1" xfId="6" applyFont="1" applyFill="1" applyBorder="1" applyAlignment="1">
      <alignment horizontal="center"/>
    </xf>
    <xf numFmtId="169" fontId="12" fillId="2" borderId="1" xfId="17" applyNumberFormat="1" applyFont="1" applyFill="1" applyBorder="1" applyAlignment="1">
      <alignment horizontal="center"/>
    </xf>
    <xf numFmtId="164" fontId="12" fillId="2" borderId="11" xfId="17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4" fontId="13" fillId="3" borderId="4" xfId="0" applyNumberFormat="1" applyFont="1" applyFill="1" applyBorder="1" applyAlignment="1">
      <alignment horizontal="right" vertical="center"/>
    </xf>
    <xf numFmtId="2" fontId="13" fillId="3" borderId="4" xfId="0" applyNumberFormat="1" applyFont="1" applyFill="1" applyBorder="1" applyAlignment="1">
      <alignment horizontal="right" vertical="center"/>
    </xf>
    <xf numFmtId="168" fontId="13" fillId="3" borderId="4" xfId="8" applyNumberFormat="1" applyFont="1" applyFill="1" applyBorder="1" applyAlignment="1">
      <alignment horizontal="center" vertical="center"/>
    </xf>
    <xf numFmtId="166" fontId="13" fillId="3" borderId="4" xfId="0" applyNumberFormat="1" applyFont="1" applyFill="1" applyBorder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166" fontId="13" fillId="3" borderId="5" xfId="0" applyNumberFormat="1" applyFont="1" applyFill="1" applyBorder="1" applyAlignment="1">
      <alignment vertical="center"/>
    </xf>
    <xf numFmtId="3" fontId="11" fillId="0" borderId="3" xfId="23" applyNumberFormat="1" applyFont="1" applyFill="1" applyBorder="1" applyAlignment="1">
      <alignment horizontal="center" vertical="center" wrapText="1" shrinkToFit="1"/>
    </xf>
    <xf numFmtId="166" fontId="11" fillId="0" borderId="4" xfId="23" applyNumberFormat="1" applyFont="1" applyFill="1" applyBorder="1" applyAlignment="1">
      <alignment horizontal="right" vertical="center" wrapText="1"/>
    </xf>
    <xf numFmtId="0" fontId="11" fillId="2" borderId="6" xfId="23" applyNumberFormat="1" applyFont="1" applyFill="1" applyBorder="1" applyAlignment="1">
      <alignment horizontal="center" vertical="center" wrapText="1"/>
    </xf>
    <xf numFmtId="166" fontId="11" fillId="2" borderId="4" xfId="23" applyNumberFormat="1" applyFont="1" applyFill="1" applyBorder="1" applyAlignment="1">
      <alignment horizontal="right" vertical="center" wrapText="1"/>
    </xf>
    <xf numFmtId="170" fontId="11" fillId="2" borderId="4" xfId="0" applyNumberFormat="1" applyFont="1" applyFill="1" applyBorder="1" applyAlignment="1">
      <alignment horizontal="center" vertical="center" wrapText="1"/>
    </xf>
    <xf numFmtId="166" fontId="14" fillId="0" borderId="3" xfId="23" applyNumberFormat="1" applyFont="1" applyFill="1" applyBorder="1" applyAlignment="1">
      <alignment horizontal="right" vertical="center" wrapText="1"/>
    </xf>
    <xf numFmtId="166" fontId="14" fillId="0" borderId="7" xfId="0" applyNumberFormat="1" applyFont="1" applyBorder="1" applyAlignment="1">
      <alignment vertical="center"/>
    </xf>
    <xf numFmtId="164" fontId="12" fillId="0" borderId="14" xfId="17" applyFont="1" applyFill="1" applyBorder="1" applyAlignment="1">
      <alignment horizontal="center" vertical="center"/>
    </xf>
    <xf numFmtId="0" fontId="11" fillId="0" borderId="6" xfId="23" applyNumberFormat="1" applyFont="1" applyFill="1" applyBorder="1" applyAlignment="1">
      <alignment horizontal="center" vertical="center" wrapText="1"/>
    </xf>
    <xf numFmtId="166" fontId="11" fillId="0" borderId="14" xfId="23" applyNumberFormat="1" applyFont="1" applyFill="1" applyBorder="1" applyAlignment="1">
      <alignment horizontal="right" vertical="center" wrapText="1"/>
    </xf>
    <xf numFmtId="166" fontId="14" fillId="0" borderId="3" xfId="6" applyNumberFormat="1" applyFont="1" applyBorder="1" applyAlignment="1">
      <alignment horizontal="right" vertical="center"/>
    </xf>
    <xf numFmtId="3" fontId="11" fillId="2" borderId="6" xfId="21" applyNumberFormat="1" applyFont="1" applyFill="1" applyBorder="1" applyAlignment="1">
      <alignment horizontal="center" vertical="center" wrapText="1" shrinkToFit="1"/>
    </xf>
    <xf numFmtId="164" fontId="12" fillId="2" borderId="2" xfId="17" applyFont="1" applyFill="1" applyBorder="1" applyAlignment="1">
      <alignment horizontal="center" vertical="center" wrapText="1"/>
    </xf>
    <xf numFmtId="166" fontId="11" fillId="2" borderId="6" xfId="0" applyNumberFormat="1" applyFont="1" applyFill="1" applyBorder="1" applyAlignment="1">
      <alignment horizontal="right" vertical="center"/>
    </xf>
    <xf numFmtId="164" fontId="11" fillId="3" borderId="7" xfId="17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2" borderId="4" xfId="6" applyFont="1" applyFill="1" applyBorder="1" applyAlignment="1">
      <alignment horizontal="left" vertical="center"/>
    </xf>
    <xf numFmtId="0" fontId="11" fillId="2" borderId="4" xfId="2" applyFont="1" applyFill="1" applyBorder="1" applyAlignment="1">
      <alignment vertical="center" wrapText="1"/>
    </xf>
    <xf numFmtId="166" fontId="14" fillId="2" borderId="3" xfId="11" applyNumberFormat="1" applyFont="1" applyFill="1" applyBorder="1" applyAlignment="1">
      <alignment horizontal="right" vertical="center"/>
    </xf>
    <xf numFmtId="164" fontId="12" fillId="0" borderId="0" xfId="17" applyFont="1" applyFill="1" applyBorder="1" applyAlignment="1">
      <alignment horizontal="center" vertical="center" wrapText="1"/>
    </xf>
    <xf numFmtId="166" fontId="14" fillId="0" borderId="6" xfId="0" applyNumberFormat="1" applyFont="1" applyBorder="1" applyAlignment="1">
      <alignment vertical="center"/>
    </xf>
    <xf numFmtId="165" fontId="14" fillId="0" borderId="3" xfId="23" applyNumberFormat="1" applyFont="1" applyFill="1" applyBorder="1" applyAlignment="1">
      <alignment horizontal="center" vertical="center" wrapText="1" shrinkToFit="1"/>
    </xf>
    <xf numFmtId="0" fontId="11" fillId="2" borderId="3" xfId="6" applyFont="1" applyFill="1" applyBorder="1" applyAlignment="1">
      <alignment horizontal="center" vertical="center"/>
    </xf>
    <xf numFmtId="0" fontId="11" fillId="0" borderId="0" xfId="2" applyFont="1" applyAlignment="1">
      <alignment horizontal="right" vertical="center"/>
    </xf>
    <xf numFmtId="2" fontId="14" fillId="0" borderId="0" xfId="0" applyNumberFormat="1" applyFont="1" applyAlignment="1">
      <alignment vertical="center"/>
    </xf>
    <xf numFmtId="2" fontId="0" fillId="0" borderId="0" xfId="0" applyNumberFormat="1"/>
    <xf numFmtId="0" fontId="11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2" fontId="14" fillId="2" borderId="9" xfId="23" applyNumberFormat="1" applyFont="1" applyFill="1" applyBorder="1" applyAlignment="1">
      <alignment horizontal="right" vertical="center" wrapText="1" shrinkToFit="1"/>
    </xf>
    <xf numFmtId="0" fontId="14" fillId="0" borderId="3" xfId="0" applyFont="1" applyBorder="1" applyAlignment="1">
      <alignment horizontal="center" vertical="center"/>
    </xf>
    <xf numFmtId="166" fontId="11" fillId="2" borderId="4" xfId="0" applyNumberFormat="1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/>
    </xf>
    <xf numFmtId="166" fontId="14" fillId="2" borderId="6" xfId="0" applyNumberFormat="1" applyFont="1" applyFill="1" applyBorder="1" applyAlignment="1">
      <alignment horizontal="right" vertical="center"/>
    </xf>
    <xf numFmtId="14" fontId="22" fillId="0" borderId="0" xfId="0" applyNumberFormat="1" applyFont="1" applyAlignment="1">
      <alignment horizontal="center" vertical="center"/>
    </xf>
    <xf numFmtId="14" fontId="22" fillId="0" borderId="0" xfId="0" applyNumberFormat="1" applyFont="1" applyAlignment="1">
      <alignment horizontal="left" vertical="center"/>
    </xf>
    <xf numFmtId="14" fontId="22" fillId="0" borderId="0" xfId="0" applyNumberFormat="1" applyFont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1" xfId="0" applyFont="1" applyBorder="1"/>
    <xf numFmtId="0" fontId="13" fillId="0" borderId="4" xfId="0" applyFont="1" applyBorder="1" applyAlignment="1">
      <alignment horizontal="center" vertical="center" wrapText="1"/>
    </xf>
    <xf numFmtId="164" fontId="12" fillId="4" borderId="7" xfId="17" applyFont="1" applyFill="1" applyBorder="1" applyAlignment="1">
      <alignment horizontal="center" vertical="center" wrapText="1"/>
    </xf>
    <xf numFmtId="0" fontId="11" fillId="4" borderId="3" xfId="6" applyFont="1" applyFill="1" applyBorder="1" applyAlignment="1">
      <alignment horizontal="center" vertical="center"/>
    </xf>
    <xf numFmtId="164" fontId="12" fillId="4" borderId="3" xfId="17" applyFont="1" applyFill="1" applyBorder="1" applyAlignment="1">
      <alignment horizontal="center" vertical="center" wrapText="1"/>
    </xf>
    <xf numFmtId="164" fontId="12" fillId="4" borderId="13" xfId="17" applyFont="1" applyFill="1" applyBorder="1" applyAlignment="1">
      <alignment horizontal="center" vertical="center" wrapText="1"/>
    </xf>
    <xf numFmtId="166" fontId="11" fillId="0" borderId="6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2" fontId="11" fillId="2" borderId="3" xfId="0" applyNumberFormat="1" applyFont="1" applyFill="1" applyBorder="1" applyAlignment="1">
      <alignment horizontal="center" vertical="center"/>
    </xf>
    <xf numFmtId="166" fontId="11" fillId="2" borderId="3" xfId="0" applyNumberFormat="1" applyFont="1" applyFill="1" applyBorder="1" applyAlignment="1">
      <alignment horizontal="center" vertical="center"/>
    </xf>
    <xf numFmtId="166" fontId="11" fillId="2" borderId="6" xfId="0" applyNumberFormat="1" applyFont="1" applyFill="1" applyBorder="1" applyAlignment="1">
      <alignment horizontal="center" vertical="center"/>
    </xf>
    <xf numFmtId="0" fontId="11" fillId="0" borderId="0" xfId="6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2" fontId="14" fillId="2" borderId="3" xfId="2" applyNumberFormat="1" applyFont="1" applyFill="1" applyBorder="1" applyAlignment="1">
      <alignment vertical="center" wrapText="1"/>
    </xf>
    <xf numFmtId="2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0" fillId="0" borderId="5" xfId="0" applyBorder="1"/>
    <xf numFmtId="2" fontId="14" fillId="0" borderId="3" xfId="0" applyNumberFormat="1" applyFont="1" applyBorder="1" applyAlignment="1">
      <alignment horizontal="right" vertical="center"/>
    </xf>
    <xf numFmtId="14" fontId="14" fillId="2" borderId="9" xfId="0" applyNumberFormat="1" applyFont="1" applyFill="1" applyBorder="1" applyAlignment="1">
      <alignment vertical="center"/>
    </xf>
    <xf numFmtId="0" fontId="13" fillId="2" borderId="1" xfId="0" applyFont="1" applyFill="1" applyBorder="1"/>
    <xf numFmtId="167" fontId="11" fillId="0" borderId="7" xfId="17" applyNumberFormat="1" applyFont="1" applyFill="1" applyBorder="1" applyAlignment="1">
      <alignment horizontal="center" vertical="center"/>
    </xf>
    <xf numFmtId="164" fontId="11" fillId="0" borderId="7" xfId="17" applyFont="1" applyFill="1" applyBorder="1" applyAlignment="1">
      <alignment horizontal="center" vertical="center"/>
    </xf>
    <xf numFmtId="0" fontId="11" fillId="0" borderId="7" xfId="6" applyFont="1" applyBorder="1" applyAlignment="1">
      <alignment horizontal="center" vertical="center"/>
    </xf>
    <xf numFmtId="167" fontId="11" fillId="0" borderId="2" xfId="17" applyNumberFormat="1" applyFont="1" applyFill="1" applyBorder="1" applyAlignment="1">
      <alignment horizontal="center"/>
    </xf>
    <xf numFmtId="164" fontId="11" fillId="0" borderId="2" xfId="17" applyFont="1" applyFill="1" applyBorder="1" applyAlignment="1">
      <alignment horizontal="center"/>
    </xf>
    <xf numFmtId="0" fontId="11" fillId="0" borderId="2" xfId="6" applyFont="1" applyBorder="1" applyAlignment="1">
      <alignment horizontal="center"/>
    </xf>
    <xf numFmtId="0" fontId="14" fillId="2" borderId="9" xfId="6" applyFont="1" applyFill="1" applyBorder="1" applyAlignment="1">
      <alignment horizontal="left" vertical="center"/>
    </xf>
    <xf numFmtId="167" fontId="14" fillId="2" borderId="3" xfId="17" applyNumberFormat="1" applyFont="1" applyFill="1" applyBorder="1" applyAlignment="1">
      <alignment horizontal="center" vertical="center"/>
    </xf>
    <xf numFmtId="164" fontId="14" fillId="2" borderId="3" xfId="17" applyFont="1" applyFill="1" applyBorder="1" applyAlignment="1">
      <alignment horizontal="center" vertical="center"/>
    </xf>
    <xf numFmtId="171" fontId="14" fillId="2" borderId="4" xfId="0" applyNumberFormat="1" applyFont="1" applyFill="1" applyBorder="1" applyAlignment="1">
      <alignment vertical="center"/>
    </xf>
    <xf numFmtId="0" fontId="14" fillId="2" borderId="3" xfId="6" applyFont="1" applyFill="1" applyBorder="1" applyAlignment="1">
      <alignment horizontal="center" vertical="center"/>
    </xf>
    <xf numFmtId="171" fontId="14" fillId="0" borderId="3" xfId="0" applyNumberFormat="1" applyFont="1" applyBorder="1"/>
    <xf numFmtId="166" fontId="14" fillId="0" borderId="3" xfId="0" applyNumberFormat="1" applyFont="1" applyBorder="1"/>
    <xf numFmtId="0" fontId="11" fillId="2" borderId="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164" fontId="14" fillId="2" borderId="8" xfId="8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168" fontId="14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right" vertical="center"/>
    </xf>
    <xf numFmtId="0" fontId="13" fillId="2" borderId="4" xfId="0" applyFont="1" applyFill="1" applyBorder="1"/>
    <xf numFmtId="0" fontId="14" fillId="2" borderId="4" xfId="0" applyFont="1" applyFill="1" applyBorder="1" applyAlignment="1">
      <alignment horizontal="center" vertical="center"/>
    </xf>
    <xf numFmtId="164" fontId="14" fillId="2" borderId="4" xfId="8" applyFont="1" applyFill="1" applyBorder="1" applyAlignment="1">
      <alignment vertical="center"/>
    </xf>
    <xf numFmtId="2" fontId="11" fillId="2" borderId="4" xfId="0" applyNumberFormat="1" applyFont="1" applyFill="1" applyBorder="1" applyAlignment="1">
      <alignment horizontal="right" vertical="center"/>
    </xf>
    <xf numFmtId="2" fontId="11" fillId="2" borderId="5" xfId="0" applyNumberFormat="1" applyFont="1" applyFill="1" applyBorder="1" applyAlignment="1">
      <alignment horizontal="right" vertical="center"/>
    </xf>
    <xf numFmtId="166" fontId="14" fillId="0" borderId="3" xfId="0" applyNumberFormat="1" applyFont="1" applyBorder="1" applyAlignment="1">
      <alignment vertical="center"/>
    </xf>
    <xf numFmtId="168" fontId="14" fillId="2" borderId="4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4" fillId="2" borderId="9" xfId="6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14" fillId="5" borderId="0" xfId="0" applyNumberFormat="1" applyFont="1" applyFill="1" applyAlignment="1">
      <alignment vertical="center"/>
    </xf>
    <xf numFmtId="0" fontId="14" fillId="5" borderId="3" xfId="0" applyFont="1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2" fontId="14" fillId="5" borderId="3" xfId="0" applyNumberFormat="1" applyFont="1" applyFill="1" applyBorder="1" applyAlignment="1">
      <alignment vertical="center"/>
    </xf>
    <xf numFmtId="0" fontId="0" fillId="0" borderId="3" xfId="0" applyBorder="1"/>
    <xf numFmtId="0" fontId="0" fillId="0" borderId="0" xfId="0" applyAlignment="1">
      <alignment horizontal="center" vertical="center"/>
    </xf>
    <xf numFmtId="0" fontId="14" fillId="0" borderId="4" xfId="0" applyFont="1" applyBorder="1" applyAlignment="1">
      <alignment vertical="center"/>
    </xf>
    <xf numFmtId="167" fontId="11" fillId="2" borderId="4" xfId="17" applyNumberFormat="1" applyFont="1" applyFill="1" applyBorder="1" applyAlignment="1">
      <alignment horizontal="center" vertical="center"/>
    </xf>
    <xf numFmtId="164" fontId="11" fillId="2" borderId="4" xfId="17" applyFont="1" applyFill="1" applyBorder="1" applyAlignment="1">
      <alignment horizontal="center" vertical="center"/>
    </xf>
    <xf numFmtId="0" fontId="11" fillId="2" borderId="4" xfId="6" applyFont="1" applyFill="1" applyBorder="1" applyAlignment="1">
      <alignment horizontal="center" vertical="center"/>
    </xf>
    <xf numFmtId="0" fontId="14" fillId="2" borderId="4" xfId="6" applyFont="1" applyFill="1" applyBorder="1" applyAlignment="1">
      <alignment horizontal="center" vertical="center"/>
    </xf>
    <xf numFmtId="164" fontId="14" fillId="0" borderId="7" xfId="17" applyFont="1" applyFill="1" applyBorder="1" applyAlignment="1">
      <alignment horizontal="center" vertical="center"/>
    </xf>
    <xf numFmtId="168" fontId="14" fillId="0" borderId="7" xfId="17" applyNumberFormat="1" applyFont="1" applyFill="1" applyBorder="1" applyAlignment="1">
      <alignment horizontal="center" vertical="center"/>
    </xf>
    <xf numFmtId="166" fontId="14" fillId="0" borderId="1" xfId="0" applyNumberFormat="1" applyFont="1" applyBorder="1" applyAlignment="1">
      <alignment vertical="center"/>
    </xf>
    <xf numFmtId="0" fontId="14" fillId="0" borderId="7" xfId="6" applyFont="1" applyBorder="1" applyAlignment="1">
      <alignment horizontal="center" vertical="center"/>
    </xf>
    <xf numFmtId="166" fontId="14" fillId="0" borderId="9" xfId="0" applyNumberFormat="1" applyFont="1" applyBorder="1" applyAlignment="1">
      <alignment vertical="center"/>
    </xf>
    <xf numFmtId="0" fontId="14" fillId="2" borderId="7" xfId="6" applyFont="1" applyFill="1" applyBorder="1" applyAlignment="1">
      <alignment horizontal="center" vertical="center"/>
    </xf>
    <xf numFmtId="0" fontId="11" fillId="2" borderId="13" xfId="6" applyFont="1" applyFill="1" applyBorder="1" applyAlignment="1">
      <alignment horizontal="left" vertical="center"/>
    </xf>
    <xf numFmtId="167" fontId="14" fillId="2" borderId="8" xfId="17" applyNumberFormat="1" applyFont="1" applyFill="1" applyBorder="1" applyAlignment="1">
      <alignment horizontal="center" vertical="center"/>
    </xf>
    <xf numFmtId="164" fontId="11" fillId="2" borderId="8" xfId="17" applyFont="1" applyFill="1" applyBorder="1" applyAlignment="1">
      <alignment horizontal="center" vertical="center"/>
    </xf>
    <xf numFmtId="164" fontId="14" fillId="2" borderId="8" xfId="17" applyFont="1" applyFill="1" applyBorder="1" applyAlignment="1">
      <alignment horizontal="center" vertical="center"/>
    </xf>
    <xf numFmtId="166" fontId="14" fillId="2" borderId="8" xfId="17" applyNumberFormat="1" applyFont="1" applyFill="1" applyBorder="1" applyAlignment="1">
      <alignment horizontal="right" vertical="center"/>
    </xf>
    <xf numFmtId="168" fontId="14" fillId="2" borderId="8" xfId="17" applyNumberFormat="1" applyFont="1" applyFill="1" applyBorder="1" applyAlignment="1">
      <alignment horizontal="center" vertical="center"/>
    </xf>
    <xf numFmtId="171" fontId="14" fillId="2" borderId="8" xfId="0" applyNumberFormat="1" applyFont="1" applyFill="1" applyBorder="1" applyAlignment="1">
      <alignment vertical="center"/>
    </xf>
    <xf numFmtId="165" fontId="14" fillId="2" borderId="8" xfId="0" applyNumberFormat="1" applyFont="1" applyFill="1" applyBorder="1" applyAlignment="1">
      <alignment horizontal="center" vertical="center"/>
    </xf>
    <xf numFmtId="0" fontId="11" fillId="2" borderId="8" xfId="6" applyFont="1" applyFill="1" applyBorder="1" applyAlignment="1">
      <alignment horizontal="center" vertical="center"/>
    </xf>
    <xf numFmtId="166" fontId="11" fillId="0" borderId="8" xfId="0" applyNumberFormat="1" applyFont="1" applyBorder="1" applyAlignment="1">
      <alignment vertical="center"/>
    </xf>
    <xf numFmtId="166" fontId="11" fillId="0" borderId="4" xfId="0" applyNumberFormat="1" applyFont="1" applyBorder="1" applyAlignment="1">
      <alignment vertical="center"/>
    </xf>
    <xf numFmtId="165" fontId="14" fillId="2" borderId="4" xfId="0" applyNumberFormat="1" applyFont="1" applyFill="1" applyBorder="1" applyAlignment="1">
      <alignment horizontal="center" vertical="center"/>
    </xf>
    <xf numFmtId="166" fontId="14" fillId="0" borderId="4" xfId="0" applyNumberFormat="1" applyFont="1" applyBorder="1" applyAlignment="1">
      <alignment vertical="center"/>
    </xf>
    <xf numFmtId="165" fontId="14" fillId="2" borderId="7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vertical="center"/>
    </xf>
    <xf numFmtId="0" fontId="14" fillId="2" borderId="5" xfId="0" applyFont="1" applyFill="1" applyBorder="1"/>
    <xf numFmtId="0" fontId="14" fillId="2" borderId="13" xfId="3" applyFont="1" applyFill="1" applyBorder="1" applyAlignment="1">
      <alignment horizontal="left" vertical="center"/>
    </xf>
    <xf numFmtId="4" fontId="14" fillId="2" borderId="3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166" fontId="11" fillId="0" borderId="8" xfId="23" applyNumberFormat="1" applyFont="1" applyFill="1" applyBorder="1" applyAlignment="1">
      <alignment horizontal="right" vertical="center" wrapText="1"/>
    </xf>
    <xf numFmtId="3" fontId="11" fillId="0" borderId="2" xfId="23" applyNumberFormat="1" applyFont="1" applyFill="1" applyBorder="1" applyAlignment="1">
      <alignment horizontal="center" vertical="center" wrapText="1" shrinkToFit="1"/>
    </xf>
    <xf numFmtId="3" fontId="11" fillId="0" borderId="6" xfId="23" applyNumberFormat="1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66" fontId="14" fillId="2" borderId="3" xfId="17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1" fillId="2" borderId="9" xfId="23" applyNumberFormat="1" applyFont="1" applyFill="1" applyBorder="1" applyAlignment="1">
      <alignment horizontal="center" vertical="center" wrapText="1"/>
    </xf>
    <xf numFmtId="166" fontId="11" fillId="2" borderId="8" xfId="23" applyNumberFormat="1" applyFont="1" applyFill="1" applyBorder="1" applyAlignment="1">
      <alignment horizontal="right" vertical="center" wrapText="1"/>
    </xf>
    <xf numFmtId="166" fontId="11" fillId="2" borderId="1" xfId="23" applyNumberFormat="1" applyFont="1" applyFill="1" applyBorder="1" applyAlignment="1">
      <alignment horizontal="right" vertical="center" wrapText="1"/>
    </xf>
    <xf numFmtId="0" fontId="11" fillId="2" borderId="13" xfId="23" applyNumberFormat="1" applyFont="1" applyFill="1" applyBorder="1" applyAlignment="1">
      <alignment horizontal="center" vertical="center" wrapText="1"/>
    </xf>
    <xf numFmtId="2" fontId="14" fillId="2" borderId="3" xfId="23" applyNumberFormat="1" applyFont="1" applyFill="1" applyBorder="1" applyAlignment="1">
      <alignment horizontal="right" vertical="center" wrapText="1" shrinkToFit="1"/>
    </xf>
    <xf numFmtId="165" fontId="14" fillId="0" borderId="7" xfId="23" applyNumberFormat="1" applyFont="1" applyFill="1" applyBorder="1" applyAlignment="1">
      <alignment horizontal="center" vertical="center" wrapText="1" shrinkToFit="1"/>
    </xf>
    <xf numFmtId="166" fontId="11" fillId="0" borderId="0" xfId="23" applyNumberFormat="1" applyFont="1" applyFill="1" applyBorder="1" applyAlignment="1">
      <alignment horizontal="right" vertical="center" wrapText="1"/>
    </xf>
    <xf numFmtId="0" fontId="11" fillId="0" borderId="9" xfId="23" applyNumberFormat="1" applyFont="1" applyFill="1" applyBorder="1" applyAlignment="1">
      <alignment horizontal="center" vertical="center" wrapText="1"/>
    </xf>
    <xf numFmtId="166" fontId="11" fillId="0" borderId="1" xfId="23" applyNumberFormat="1" applyFont="1" applyFill="1" applyBorder="1" applyAlignment="1">
      <alignment horizontal="righ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2" fontId="14" fillId="0" borderId="16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2" fillId="2" borderId="10" xfId="17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right" vertical="center"/>
    </xf>
    <xf numFmtId="0" fontId="11" fillId="2" borderId="4" xfId="21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vertical="center"/>
    </xf>
    <xf numFmtId="2" fontId="14" fillId="0" borderId="3" xfId="2" applyNumberFormat="1" applyFont="1" applyBorder="1" applyAlignment="1">
      <alignment horizontal="right" vertical="center"/>
    </xf>
    <xf numFmtId="172" fontId="14" fillId="2" borderId="3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vertical="center"/>
    </xf>
    <xf numFmtId="2" fontId="14" fillId="0" borderId="2" xfId="21" applyNumberFormat="1" applyFont="1" applyFill="1" applyBorder="1" applyAlignment="1">
      <alignment horizontal="right" vertical="center" wrapText="1"/>
    </xf>
    <xf numFmtId="2" fontId="14" fillId="0" borderId="2" xfId="2" applyNumberFormat="1" applyFont="1" applyBorder="1" applyAlignment="1">
      <alignment horizontal="right" vertical="center"/>
    </xf>
    <xf numFmtId="2" fontId="14" fillId="2" borderId="2" xfId="0" applyNumberFormat="1" applyFont="1" applyFill="1" applyBorder="1" applyAlignment="1">
      <alignment vertical="center"/>
    </xf>
    <xf numFmtId="0" fontId="14" fillId="2" borderId="6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left" vertical="center"/>
    </xf>
    <xf numFmtId="0" fontId="12" fillId="2" borderId="2" xfId="17" applyNumberFormat="1" applyFont="1" applyFill="1" applyBorder="1" applyAlignment="1">
      <alignment horizontal="center" vertical="center" wrapText="1"/>
    </xf>
    <xf numFmtId="0" fontId="11" fillId="2" borderId="4" xfId="17" applyNumberFormat="1" applyFont="1" applyFill="1" applyBorder="1" applyAlignment="1">
      <alignment horizontal="center" vertical="center" wrapText="1"/>
    </xf>
    <xf numFmtId="0" fontId="11" fillId="2" borderId="1" xfId="21" applyNumberFormat="1" applyFont="1" applyFill="1" applyBorder="1" applyAlignment="1">
      <alignment horizontal="center" vertical="center" wrapText="1"/>
    </xf>
    <xf numFmtId="0" fontId="11" fillId="2" borderId="1" xfId="17" applyNumberFormat="1" applyFont="1" applyFill="1" applyBorder="1" applyAlignment="1">
      <alignment horizontal="center" vertical="center" wrapText="1"/>
    </xf>
    <xf numFmtId="166" fontId="11" fillId="2" borderId="4" xfId="0" applyNumberFormat="1" applyFont="1" applyFill="1" applyBorder="1" applyAlignment="1">
      <alignment horizontal="center" vertical="center" wrapText="1"/>
    </xf>
    <xf numFmtId="166" fontId="14" fillId="2" borderId="3" xfId="17" applyNumberFormat="1" applyFont="1" applyFill="1" applyBorder="1" applyAlignment="1">
      <alignment horizontal="right" vertical="center" wrapText="1"/>
    </xf>
    <xf numFmtId="168" fontId="14" fillId="2" borderId="3" xfId="17" applyNumberFormat="1" applyFont="1" applyFill="1" applyBorder="1" applyAlignment="1">
      <alignment horizontal="center" vertical="center" wrapText="1"/>
    </xf>
    <xf numFmtId="166" fontId="14" fillId="2" borderId="3" xfId="21" applyNumberFormat="1" applyFont="1" applyFill="1" applyBorder="1" applyAlignment="1">
      <alignment horizontal="right" vertical="center" wrapText="1"/>
    </xf>
    <xf numFmtId="0" fontId="14" fillId="2" borderId="3" xfId="17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/>
    </xf>
    <xf numFmtId="0" fontId="14" fillId="2" borderId="3" xfId="17" applyNumberFormat="1" applyFont="1" applyFill="1" applyBorder="1" applyAlignment="1">
      <alignment horizontal="left" vertical="center" wrapText="1"/>
    </xf>
    <xf numFmtId="2" fontId="2" fillId="0" borderId="3" xfId="0" applyNumberFormat="1" applyFont="1" applyBorder="1" applyAlignment="1">
      <alignment vertical="center"/>
    </xf>
    <xf numFmtId="0" fontId="12" fillId="2" borderId="7" xfId="17" applyNumberFormat="1" applyFont="1" applyFill="1" applyBorder="1" applyAlignment="1">
      <alignment horizontal="center" vertical="center" wrapText="1"/>
    </xf>
    <xf numFmtId="2" fontId="14" fillId="0" borderId="4" xfId="2" applyNumberFormat="1" applyFont="1" applyBorder="1" applyAlignment="1">
      <alignment horizontal="right" vertical="center"/>
    </xf>
    <xf numFmtId="2" fontId="14" fillId="0" borderId="4" xfId="0" applyNumberFormat="1" applyFont="1" applyBorder="1" applyAlignment="1">
      <alignment vertical="center"/>
    </xf>
    <xf numFmtId="2" fontId="14" fillId="2" borderId="4" xfId="0" applyNumberFormat="1" applyFont="1" applyFill="1" applyBorder="1" applyAlignment="1">
      <alignment horizontal="right" vertical="center"/>
    </xf>
    <xf numFmtId="172" fontId="14" fillId="2" borderId="2" xfId="0" applyNumberFormat="1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/>
    </xf>
    <xf numFmtId="0" fontId="12" fillId="2" borderId="9" xfId="17" applyNumberFormat="1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/>
    </xf>
    <xf numFmtId="2" fontId="14" fillId="2" borderId="7" xfId="2" applyNumberFormat="1" applyFont="1" applyFill="1" applyBorder="1" applyAlignment="1">
      <alignment horizontal="right" vertical="center"/>
    </xf>
    <xf numFmtId="166" fontId="14" fillId="0" borderId="7" xfId="23" applyNumberFormat="1" applyFont="1" applyFill="1" applyBorder="1" applyAlignment="1">
      <alignment horizontal="right" vertical="center" wrapText="1"/>
    </xf>
    <xf numFmtId="166" fontId="14" fillId="2" borderId="7" xfId="0" applyNumberFormat="1" applyFont="1" applyFill="1" applyBorder="1" applyAlignment="1">
      <alignment vertical="center"/>
    </xf>
    <xf numFmtId="2" fontId="14" fillId="0" borderId="9" xfId="6" applyNumberFormat="1" applyFont="1" applyBorder="1" applyAlignment="1">
      <alignment horizontal="right" vertical="center"/>
    </xf>
    <xf numFmtId="2" fontId="14" fillId="2" borderId="7" xfId="17" applyNumberFormat="1" applyFont="1" applyFill="1" applyBorder="1" applyAlignment="1">
      <alignment horizontal="right" vertical="center"/>
    </xf>
    <xf numFmtId="2" fontId="14" fillId="2" borderId="7" xfId="6" applyNumberFormat="1" applyFont="1" applyFill="1" applyBorder="1" applyAlignment="1">
      <alignment horizontal="right" vertical="center"/>
    </xf>
    <xf numFmtId="2" fontId="14" fillId="2" borderId="15" xfId="2" applyNumberFormat="1" applyFont="1" applyFill="1" applyBorder="1" applyAlignment="1">
      <alignment horizontal="right" vertical="center"/>
    </xf>
    <xf numFmtId="166" fontId="14" fillId="0" borderId="15" xfId="23" applyNumberFormat="1" applyFont="1" applyFill="1" applyBorder="1" applyAlignment="1">
      <alignment horizontal="right" vertical="center" wrapText="1"/>
    </xf>
    <xf numFmtId="166" fontId="14" fillId="2" borderId="15" xfId="0" applyNumberFormat="1" applyFont="1" applyFill="1" applyBorder="1" applyAlignment="1">
      <alignment vertical="center"/>
    </xf>
    <xf numFmtId="165" fontId="14" fillId="2" borderId="15" xfId="23" applyNumberFormat="1" applyFont="1" applyFill="1" applyBorder="1" applyAlignment="1">
      <alignment horizontal="center" vertical="center" wrapText="1" shrinkToFit="1"/>
    </xf>
    <xf numFmtId="166" fontId="14" fillId="2" borderId="15" xfId="17" applyNumberFormat="1" applyFont="1" applyFill="1" applyBorder="1" applyAlignment="1">
      <alignment horizontal="center" vertical="center"/>
    </xf>
    <xf numFmtId="2" fontId="14" fillId="0" borderId="17" xfId="6" applyNumberFormat="1" applyFont="1" applyBorder="1" applyAlignment="1">
      <alignment horizontal="right" vertical="center"/>
    </xf>
    <xf numFmtId="2" fontId="14" fillId="2" borderId="15" xfId="17" applyNumberFormat="1" applyFont="1" applyFill="1" applyBorder="1" applyAlignment="1">
      <alignment horizontal="right" vertical="center"/>
    </xf>
    <xf numFmtId="2" fontId="14" fillId="2" borderId="15" xfId="6" applyNumberFormat="1" applyFont="1" applyFill="1" applyBorder="1" applyAlignment="1">
      <alignment horizontal="right" vertical="center"/>
    </xf>
    <xf numFmtId="2" fontId="14" fillId="9" borderId="3" xfId="2" applyNumberFormat="1" applyFont="1" applyFill="1" applyBorder="1" applyAlignment="1">
      <alignment horizontal="right" vertical="center"/>
    </xf>
    <xf numFmtId="166" fontId="14" fillId="9" borderId="3" xfId="23" applyNumberFormat="1" applyFont="1" applyFill="1" applyBorder="1" applyAlignment="1">
      <alignment horizontal="right" vertical="center" wrapText="1"/>
    </xf>
    <xf numFmtId="166" fontId="14" fillId="9" borderId="3" xfId="0" applyNumberFormat="1" applyFont="1" applyFill="1" applyBorder="1" applyAlignment="1">
      <alignment vertical="center"/>
    </xf>
    <xf numFmtId="165" fontId="14" fillId="9" borderId="3" xfId="23" applyNumberFormat="1" applyFont="1" applyFill="1" applyBorder="1" applyAlignment="1">
      <alignment horizontal="center" vertical="center" wrapText="1" shrinkToFit="1"/>
    </xf>
    <xf numFmtId="166" fontId="14" fillId="9" borderId="3" xfId="17" applyNumberFormat="1" applyFont="1" applyFill="1" applyBorder="1" applyAlignment="1">
      <alignment horizontal="center" vertical="center"/>
    </xf>
    <xf numFmtId="2" fontId="14" fillId="9" borderId="6" xfId="6" applyNumberFormat="1" applyFont="1" applyFill="1" applyBorder="1" applyAlignment="1">
      <alignment horizontal="right" vertical="center"/>
    </xf>
    <xf numFmtId="2" fontId="14" fillId="9" borderId="3" xfId="17" applyNumberFormat="1" applyFont="1" applyFill="1" applyBorder="1" applyAlignment="1">
      <alignment horizontal="right" vertical="center"/>
    </xf>
    <xf numFmtId="2" fontId="14" fillId="9" borderId="3" xfId="6" applyNumberFormat="1" applyFont="1" applyFill="1" applyBorder="1" applyAlignment="1">
      <alignment horizontal="right" vertical="center"/>
    </xf>
    <xf numFmtId="2" fontId="14" fillId="0" borderId="7" xfId="0" applyNumberFormat="1" applyFont="1" applyBorder="1" applyAlignment="1">
      <alignment vertical="center"/>
    </xf>
    <xf numFmtId="2" fontId="14" fillId="0" borderId="15" xfId="0" applyNumberFormat="1" applyFont="1" applyBorder="1" applyAlignment="1">
      <alignment vertical="center"/>
    </xf>
    <xf numFmtId="2" fontId="14" fillId="2" borderId="15" xfId="23" applyNumberFormat="1" applyFont="1" applyFill="1" applyBorder="1" applyAlignment="1">
      <alignment horizontal="right" vertical="center" wrapText="1" shrinkToFit="1"/>
    </xf>
    <xf numFmtId="2" fontId="14" fillId="2" borderId="17" xfId="23" applyNumberFormat="1" applyFont="1" applyFill="1" applyBorder="1" applyAlignment="1">
      <alignment horizontal="right" vertical="center" wrapText="1" shrinkToFit="1"/>
    </xf>
    <xf numFmtId="2" fontId="14" fillId="2" borderId="17" xfId="21" applyNumberFormat="1" applyFont="1" applyFill="1" applyBorder="1" applyAlignment="1">
      <alignment horizontal="right" vertical="center" wrapText="1" shrinkToFit="1"/>
    </xf>
    <xf numFmtId="2" fontId="14" fillId="2" borderId="15" xfId="21" applyNumberFormat="1" applyFont="1" applyFill="1" applyBorder="1" applyAlignment="1">
      <alignment horizontal="right" vertical="center" wrapText="1" shrinkToFit="1"/>
    </xf>
    <xf numFmtId="2" fontId="14" fillId="2" borderId="2" xfId="23" applyNumberFormat="1" applyFont="1" applyFill="1" applyBorder="1" applyAlignment="1">
      <alignment horizontal="right" vertical="center" wrapText="1" shrinkToFit="1"/>
    </xf>
    <xf numFmtId="2" fontId="14" fillId="5" borderId="7" xfId="0" applyNumberFormat="1" applyFont="1" applyFill="1" applyBorder="1" applyAlignment="1">
      <alignment vertical="center"/>
    </xf>
    <xf numFmtId="2" fontId="14" fillId="5" borderId="10" xfId="0" applyNumberFormat="1" applyFont="1" applyFill="1" applyBorder="1" applyAlignment="1">
      <alignment vertical="center"/>
    </xf>
    <xf numFmtId="2" fontId="14" fillId="9" borderId="3" xfId="23" applyNumberFormat="1" applyFont="1" applyFill="1" applyBorder="1" applyAlignment="1">
      <alignment horizontal="right" vertical="center" wrapText="1" shrinkToFit="1"/>
    </xf>
    <xf numFmtId="2" fontId="14" fillId="9" borderId="3" xfId="21" applyNumberFormat="1" applyFont="1" applyFill="1" applyBorder="1" applyAlignment="1">
      <alignment horizontal="right" vertical="center" wrapText="1" shrinkToFit="1"/>
    </xf>
    <xf numFmtId="166" fontId="14" fillId="2" borderId="7" xfId="6" applyNumberFormat="1" applyFont="1" applyFill="1" applyBorder="1" applyAlignment="1">
      <alignment horizontal="right" vertical="center"/>
    </xf>
    <xf numFmtId="166" fontId="14" fillId="0" borderId="7" xfId="6" applyNumberFormat="1" applyFont="1" applyBorder="1" applyAlignment="1">
      <alignment horizontal="right" vertical="center"/>
    </xf>
    <xf numFmtId="166" fontId="14" fillId="0" borderId="7" xfId="17" applyNumberFormat="1" applyFont="1" applyFill="1" applyBorder="1" applyAlignment="1">
      <alignment horizontal="right" vertical="center"/>
    </xf>
    <xf numFmtId="0" fontId="14" fillId="0" borderId="7" xfId="0" applyFont="1" applyBorder="1" applyAlignment="1">
      <alignment vertical="center"/>
    </xf>
    <xf numFmtId="166" fontId="14" fillId="2" borderId="15" xfId="6" applyNumberFormat="1" applyFont="1" applyFill="1" applyBorder="1" applyAlignment="1">
      <alignment horizontal="right" vertical="center"/>
    </xf>
    <xf numFmtId="166" fontId="14" fillId="0" borderId="15" xfId="6" applyNumberFormat="1" applyFont="1" applyBorder="1" applyAlignment="1">
      <alignment horizontal="right" vertical="center"/>
    </xf>
    <xf numFmtId="166" fontId="14" fillId="0" borderId="15" xfId="17" applyNumberFormat="1" applyFont="1" applyFill="1" applyBorder="1" applyAlignment="1">
      <alignment horizontal="right" vertical="center"/>
    </xf>
    <xf numFmtId="0" fontId="14" fillId="0" borderId="18" xfId="0" applyFont="1" applyBorder="1" applyAlignment="1">
      <alignment vertical="center"/>
    </xf>
    <xf numFmtId="166" fontId="14" fillId="0" borderId="15" xfId="0" applyNumberFormat="1" applyFont="1" applyBorder="1" applyAlignment="1">
      <alignment vertical="center"/>
    </xf>
    <xf numFmtId="0" fontId="0" fillId="0" borderId="7" xfId="0" applyBorder="1"/>
    <xf numFmtId="0" fontId="0" fillId="0" borderId="15" xfId="0" applyBorder="1"/>
    <xf numFmtId="2" fontId="14" fillId="2" borderId="3" xfId="23" applyNumberFormat="1" applyFont="1" applyFill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/>
    </xf>
    <xf numFmtId="166" fontId="11" fillId="2" borderId="3" xfId="0" applyNumberFormat="1" applyFont="1" applyFill="1" applyBorder="1" applyAlignment="1">
      <alignment horizontal="right" vertical="center"/>
    </xf>
    <xf numFmtId="166" fontId="11" fillId="2" borderId="3" xfId="0" applyNumberFormat="1" applyFont="1" applyFill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0" fontId="14" fillId="7" borderId="3" xfId="2" applyFont="1" applyFill="1" applyBorder="1" applyAlignment="1">
      <alignment vertical="center" wrapText="1"/>
    </xf>
    <xf numFmtId="171" fontId="14" fillId="2" borderId="3" xfId="0" applyNumberFormat="1" applyFont="1" applyFill="1" applyBorder="1" applyAlignment="1">
      <alignment vertical="center"/>
    </xf>
    <xf numFmtId="0" fontId="23" fillId="0" borderId="4" xfId="0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14" fillId="2" borderId="6" xfId="6" applyFont="1" applyFill="1" applyBorder="1" applyAlignment="1">
      <alignment horizontal="center" vertical="center"/>
    </xf>
    <xf numFmtId="14" fontId="14" fillId="2" borderId="6" xfId="0" applyNumberFormat="1" applyFont="1" applyFill="1" applyBorder="1" applyAlignment="1">
      <alignment vertical="center" wrapText="1"/>
    </xf>
    <xf numFmtId="167" fontId="12" fillId="2" borderId="4" xfId="17" applyNumberFormat="1" applyFont="1" applyFill="1" applyBorder="1" applyAlignment="1">
      <alignment horizontal="center"/>
    </xf>
    <xf numFmtId="164" fontId="12" fillId="2" borderId="4" xfId="17" applyFont="1" applyFill="1" applyBorder="1" applyAlignment="1">
      <alignment horizontal="center"/>
    </xf>
    <xf numFmtId="0" fontId="12" fillId="2" borderId="4" xfId="6" applyFont="1" applyFill="1" applyBorder="1" applyAlignment="1">
      <alignment horizontal="center"/>
    </xf>
    <xf numFmtId="169" fontId="12" fillId="2" borderId="4" xfId="17" applyNumberFormat="1" applyFont="1" applyFill="1" applyBorder="1" applyAlignment="1">
      <alignment horizontal="center"/>
    </xf>
    <xf numFmtId="167" fontId="13" fillId="2" borderId="3" xfId="17" applyNumberFormat="1" applyFont="1" applyFill="1" applyBorder="1" applyAlignment="1">
      <alignment horizontal="center"/>
    </xf>
    <xf numFmtId="164" fontId="13" fillId="2" borderId="3" xfId="17" applyFont="1" applyFill="1" applyBorder="1" applyAlignment="1">
      <alignment horizontal="center"/>
    </xf>
    <xf numFmtId="0" fontId="13" fillId="2" borderId="3" xfId="6" applyFont="1" applyFill="1" applyBorder="1" applyAlignment="1">
      <alignment horizontal="center"/>
    </xf>
    <xf numFmtId="169" fontId="13" fillId="2" borderId="3" xfId="17" applyNumberFormat="1" applyFont="1" applyFill="1" applyBorder="1" applyAlignment="1">
      <alignment horizontal="center"/>
    </xf>
    <xf numFmtId="164" fontId="13" fillId="2" borderId="3" xfId="17" applyFont="1" applyFill="1" applyBorder="1" applyAlignment="1">
      <alignment horizontal="center" vertical="center"/>
    </xf>
    <xf numFmtId="168" fontId="13" fillId="2" borderId="3" xfId="17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vertical="center"/>
    </xf>
    <xf numFmtId="2" fontId="11" fillId="2" borderId="8" xfId="0" applyNumberFormat="1" applyFont="1" applyFill="1" applyBorder="1" applyAlignment="1">
      <alignment vertical="center"/>
    </xf>
    <xf numFmtId="2" fontId="14" fillId="2" borderId="8" xfId="0" applyNumberFormat="1" applyFont="1" applyFill="1" applyBorder="1" applyAlignment="1">
      <alignment vertical="center"/>
    </xf>
    <xf numFmtId="168" fontId="14" fillId="2" borderId="8" xfId="8" applyNumberFormat="1" applyFont="1" applyFill="1" applyBorder="1" applyAlignment="1">
      <alignment horizontal="center" vertical="center"/>
    </xf>
    <xf numFmtId="166" fontId="14" fillId="2" borderId="8" xfId="0" applyNumberFormat="1" applyFont="1" applyFill="1" applyBorder="1" applyAlignment="1">
      <alignment vertical="center"/>
    </xf>
    <xf numFmtId="166" fontId="11" fillId="2" borderId="8" xfId="0" applyNumberFormat="1" applyFont="1" applyFill="1" applyBorder="1" applyAlignment="1">
      <alignment horizontal="center" vertical="center"/>
    </xf>
    <xf numFmtId="166" fontId="11" fillId="2" borderId="12" xfId="0" applyNumberFormat="1" applyFont="1" applyFill="1" applyBorder="1" applyAlignment="1">
      <alignment vertical="center"/>
    </xf>
    <xf numFmtId="167" fontId="13" fillId="2" borderId="3" xfId="17" applyNumberFormat="1" applyFont="1" applyFill="1" applyBorder="1" applyAlignment="1">
      <alignment horizontal="center" vertical="center"/>
    </xf>
    <xf numFmtId="0" fontId="13" fillId="2" borderId="3" xfId="6" applyFont="1" applyFill="1" applyBorder="1" applyAlignment="1">
      <alignment horizontal="center" vertical="center"/>
    </xf>
    <xf numFmtId="169" fontId="13" fillId="2" borderId="3" xfId="17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20" fillId="0" borderId="4" xfId="0" applyFont="1" applyBorder="1" applyAlignment="1" applyProtection="1">
      <alignment vertical="top"/>
      <protection hidden="1"/>
    </xf>
    <xf numFmtId="164" fontId="11" fillId="0" borderId="7" xfId="17" applyFont="1" applyFill="1" applyBorder="1" applyAlignment="1" applyProtection="1">
      <alignment horizontal="center" vertical="center"/>
    </xf>
    <xf numFmtId="167" fontId="11" fillId="0" borderId="2" xfId="17" applyNumberFormat="1" applyFont="1" applyFill="1" applyBorder="1" applyAlignment="1" applyProtection="1">
      <alignment horizontal="center"/>
    </xf>
    <xf numFmtId="164" fontId="11" fillId="0" borderId="2" xfId="17" applyFont="1" applyFill="1" applyBorder="1" applyAlignment="1" applyProtection="1">
      <alignment horizontal="center"/>
    </xf>
    <xf numFmtId="0" fontId="14" fillId="0" borderId="3" xfId="21" applyNumberFormat="1" applyFont="1" applyFill="1" applyBorder="1" applyAlignment="1">
      <alignment horizontal="center" vertical="center" wrapText="1"/>
    </xf>
    <xf numFmtId="166" fontId="14" fillId="0" borderId="3" xfId="17" applyNumberFormat="1" applyFont="1" applyFill="1" applyBorder="1" applyAlignment="1" applyProtection="1">
      <alignment horizontal="center" vertical="center"/>
    </xf>
    <xf numFmtId="166" fontId="14" fillId="0" borderId="3" xfId="17" applyNumberFormat="1" applyFont="1" applyFill="1" applyBorder="1" applyAlignment="1" applyProtection="1">
      <alignment horizontal="right" vertical="center"/>
    </xf>
    <xf numFmtId="168" fontId="14" fillId="0" borderId="3" xfId="17" applyNumberFormat="1" applyFont="1" applyFill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hidden="1"/>
    </xf>
    <xf numFmtId="2" fontId="14" fillId="0" borderId="3" xfId="0" applyNumberFormat="1" applyFont="1" applyBorder="1" applyAlignment="1" applyProtection="1">
      <alignment vertical="center"/>
      <protection hidden="1"/>
    </xf>
    <xf numFmtId="0" fontId="14" fillId="0" borderId="7" xfId="21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166" fontId="14" fillId="0" borderId="4" xfId="17" applyNumberFormat="1" applyFont="1" applyFill="1" applyBorder="1" applyAlignment="1" applyProtection="1">
      <alignment horizontal="center"/>
    </xf>
    <xf numFmtId="166" fontId="11" fillId="0" borderId="4" xfId="17" applyNumberFormat="1" applyFont="1" applyFill="1" applyBorder="1" applyAlignment="1" applyProtection="1">
      <alignment horizontal="right" vertical="center"/>
    </xf>
    <xf numFmtId="166" fontId="14" fillId="0" borderId="4" xfId="17" applyNumberFormat="1" applyFont="1" applyFill="1" applyBorder="1" applyAlignment="1" applyProtection="1">
      <alignment horizontal="right" vertical="center"/>
    </xf>
    <xf numFmtId="168" fontId="14" fillId="0" borderId="4" xfId="17" applyNumberFormat="1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hidden="1"/>
    </xf>
    <xf numFmtId="2" fontId="14" fillId="0" borderId="4" xfId="0" applyNumberFormat="1" applyFont="1" applyBorder="1" applyAlignment="1" applyProtection="1">
      <alignment vertical="center"/>
      <protection hidden="1"/>
    </xf>
    <xf numFmtId="2" fontId="11" fillId="0" borderId="5" xfId="0" applyNumberFormat="1" applyFont="1" applyBorder="1" applyAlignment="1">
      <alignment vertical="center"/>
    </xf>
    <xf numFmtId="1" fontId="8" fillId="0" borderId="7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right" vertical="center" wrapText="1"/>
    </xf>
    <xf numFmtId="164" fontId="14" fillId="0" borderId="2" xfId="17" applyFont="1" applyFill="1" applyBorder="1" applyAlignment="1" applyProtection="1">
      <alignment horizontal="center" vertical="center"/>
    </xf>
    <xf numFmtId="168" fontId="14" fillId="0" borderId="2" xfId="17" applyNumberFormat="1" applyFont="1" applyFill="1" applyBorder="1" applyAlignment="1" applyProtection="1">
      <alignment horizontal="center" vertical="center"/>
    </xf>
    <xf numFmtId="166" fontId="14" fillId="0" borderId="2" xfId="17" applyNumberFormat="1" applyFont="1" applyFill="1" applyBorder="1" applyAlignment="1" applyProtection="1">
      <alignment horizontal="right" vertical="center"/>
    </xf>
    <xf numFmtId="166" fontId="14" fillId="0" borderId="2" xfId="23" applyNumberFormat="1" applyFont="1" applyFill="1" applyBorder="1" applyAlignment="1">
      <alignment horizontal="right" vertical="center" wrapText="1"/>
    </xf>
    <xf numFmtId="166" fontId="14" fillId="2" borderId="2" xfId="0" applyNumberFormat="1" applyFont="1" applyFill="1" applyBorder="1" applyAlignment="1">
      <alignment vertical="center"/>
    </xf>
    <xf numFmtId="165" fontId="14" fillId="2" borderId="2" xfId="23" applyNumberFormat="1" applyFont="1" applyFill="1" applyBorder="1" applyAlignment="1">
      <alignment horizontal="center" vertical="center" wrapText="1" shrinkToFit="1"/>
    </xf>
    <xf numFmtId="166" fontId="14" fillId="2" borderId="10" xfId="17" applyNumberFormat="1" applyFont="1" applyFill="1" applyBorder="1" applyAlignment="1">
      <alignment horizontal="center" vertical="center"/>
    </xf>
    <xf numFmtId="2" fontId="14" fillId="2" borderId="2" xfId="6" applyNumberFormat="1" applyFont="1" applyFill="1" applyBorder="1" applyAlignment="1">
      <alignment horizontal="right" vertical="center"/>
    </xf>
    <xf numFmtId="2" fontId="14" fillId="2" borderId="19" xfId="6" applyNumberFormat="1" applyFont="1" applyFill="1" applyBorder="1" applyAlignment="1">
      <alignment horizontal="right" vertical="center"/>
    </xf>
    <xf numFmtId="166" fontId="14" fillId="0" borderId="19" xfId="23" applyNumberFormat="1" applyFont="1" applyFill="1" applyBorder="1" applyAlignment="1">
      <alignment horizontal="right" vertical="center" wrapText="1"/>
    </xf>
    <xf numFmtId="166" fontId="14" fillId="2" borderId="19" xfId="0" applyNumberFormat="1" applyFont="1" applyFill="1" applyBorder="1" applyAlignment="1">
      <alignment vertical="center"/>
    </xf>
    <xf numFmtId="165" fontId="14" fillId="2" borderId="19" xfId="23" applyNumberFormat="1" applyFont="1" applyFill="1" applyBorder="1" applyAlignment="1">
      <alignment horizontal="center" vertical="center" wrapText="1" shrinkToFit="1"/>
    </xf>
    <xf numFmtId="166" fontId="14" fillId="2" borderId="19" xfId="17" applyNumberFormat="1" applyFont="1" applyFill="1" applyBorder="1" applyAlignment="1">
      <alignment horizontal="center" vertical="center"/>
    </xf>
    <xf numFmtId="166" fontId="14" fillId="2" borderId="2" xfId="17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2" fontId="14" fillId="0" borderId="0" xfId="0" quotePrefix="1" applyNumberFormat="1" applyFont="1" applyAlignment="1">
      <alignment vertical="center"/>
    </xf>
    <xf numFmtId="2" fontId="14" fillId="5" borderId="0" xfId="0" quotePrefix="1" applyNumberFormat="1" applyFont="1" applyFill="1" applyAlignment="1">
      <alignment horizontal="right" vertical="center"/>
    </xf>
    <xf numFmtId="2" fontId="14" fillId="0" borderId="1" xfId="0" applyNumberFormat="1" applyFont="1" applyBorder="1" applyAlignment="1">
      <alignment vertical="center"/>
    </xf>
    <xf numFmtId="2" fontId="14" fillId="0" borderId="20" xfId="0" applyNumberFormat="1" applyFont="1" applyBorder="1" applyAlignment="1">
      <alignment vertical="center"/>
    </xf>
    <xf numFmtId="0" fontId="14" fillId="2" borderId="19" xfId="0" applyFont="1" applyFill="1" applyBorder="1" applyAlignment="1">
      <alignment horizontal="center" vertical="center"/>
    </xf>
    <xf numFmtId="2" fontId="14" fillId="2" borderId="19" xfId="2" applyNumberFormat="1" applyFont="1" applyFill="1" applyBorder="1" applyAlignment="1">
      <alignment horizontal="right" vertical="center"/>
    </xf>
    <xf numFmtId="0" fontId="11" fillId="0" borderId="3" xfId="6" applyFont="1" applyBorder="1" applyAlignment="1">
      <alignment horizontal="center" vertical="center"/>
    </xf>
    <xf numFmtId="166" fontId="14" fillId="0" borderId="7" xfId="17" applyNumberFormat="1" applyFont="1" applyFill="1" applyBorder="1" applyAlignment="1" applyProtection="1">
      <alignment horizontal="right" vertical="center"/>
    </xf>
    <xf numFmtId="168" fontId="14" fillId="0" borderId="7" xfId="17" applyNumberFormat="1" applyFont="1" applyFill="1" applyBorder="1" applyAlignment="1" applyProtection="1">
      <alignment horizontal="center" vertical="center"/>
    </xf>
    <xf numFmtId="166" fontId="14" fillId="0" borderId="7" xfId="0" applyNumberFormat="1" applyFont="1" applyBorder="1" applyAlignment="1" applyProtection="1">
      <alignment horizontal="center" vertical="center"/>
      <protection hidden="1"/>
    </xf>
    <xf numFmtId="166" fontId="14" fillId="0" borderId="3" xfId="0" applyNumberFormat="1" applyFont="1" applyBorder="1" applyAlignment="1" applyProtection="1">
      <alignment horizontal="center" vertical="center"/>
      <protection hidden="1"/>
    </xf>
    <xf numFmtId="166" fontId="14" fillId="0" borderId="3" xfId="0" applyNumberFormat="1" applyFont="1" applyBorder="1" applyAlignment="1">
      <alignment horizontal="right" vertical="center"/>
    </xf>
    <xf numFmtId="166" fontId="14" fillId="0" borderId="10" xfId="17" applyNumberFormat="1" applyFont="1" applyFill="1" applyBorder="1" applyAlignment="1" applyProtection="1">
      <alignment horizontal="right" vertical="center"/>
    </xf>
    <xf numFmtId="166" fontId="14" fillId="0" borderId="7" xfId="0" applyNumberFormat="1" applyFont="1" applyBorder="1" applyAlignment="1">
      <alignment horizontal="right" vertical="center"/>
    </xf>
    <xf numFmtId="166" fontId="14" fillId="0" borderId="7" xfId="0" applyNumberFormat="1" applyFont="1" applyBorder="1" applyAlignment="1" applyProtection="1">
      <alignment horizontal="right" vertical="center"/>
      <protection hidden="1"/>
    </xf>
    <xf numFmtId="166" fontId="14" fillId="0" borderId="3" xfId="0" applyNumberFormat="1" applyFont="1" applyBorder="1" applyAlignment="1" applyProtection="1">
      <alignment horizontal="right" vertical="center"/>
      <protection hidden="1"/>
    </xf>
    <xf numFmtId="168" fontId="14" fillId="0" borderId="3" xfId="0" applyNumberFormat="1" applyFont="1" applyBorder="1" applyAlignment="1">
      <alignment horizontal="center" vertical="center"/>
    </xf>
    <xf numFmtId="166" fontId="14" fillId="0" borderId="7" xfId="21" applyNumberFormat="1" applyFont="1" applyFill="1" applyBorder="1" applyAlignment="1">
      <alignment horizontal="center" vertical="center" wrapText="1"/>
    </xf>
    <xf numFmtId="0" fontId="11" fillId="0" borderId="3" xfId="6" applyFont="1" applyBorder="1" applyAlignment="1">
      <alignment horizontal="center"/>
    </xf>
    <xf numFmtId="0" fontId="16" fillId="2" borderId="4" xfId="0" applyFont="1" applyFill="1" applyBorder="1" applyAlignment="1">
      <alignment vertical="center"/>
    </xf>
    <xf numFmtId="0" fontId="18" fillId="3" borderId="13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vertical="center"/>
    </xf>
    <xf numFmtId="4" fontId="13" fillId="3" borderId="8" xfId="0" applyNumberFormat="1" applyFont="1" applyFill="1" applyBorder="1" applyAlignment="1">
      <alignment horizontal="right" vertical="center"/>
    </xf>
    <xf numFmtId="2" fontId="13" fillId="3" borderId="8" xfId="0" applyNumberFormat="1" applyFont="1" applyFill="1" applyBorder="1" applyAlignment="1">
      <alignment horizontal="right" vertical="center"/>
    </xf>
    <xf numFmtId="168" fontId="13" fillId="3" borderId="8" xfId="8" applyNumberFormat="1" applyFont="1" applyFill="1" applyBorder="1" applyAlignment="1">
      <alignment horizontal="center" vertical="center"/>
    </xf>
    <xf numFmtId="166" fontId="13" fillId="3" borderId="8" xfId="0" applyNumberFormat="1" applyFont="1" applyFill="1" applyBorder="1" applyAlignment="1">
      <alignment vertical="center"/>
    </xf>
    <xf numFmtId="0" fontId="13" fillId="3" borderId="8" xfId="0" applyFont="1" applyFill="1" applyBorder="1" applyAlignment="1">
      <alignment horizontal="center" vertical="center"/>
    </xf>
    <xf numFmtId="166" fontId="13" fillId="3" borderId="12" xfId="0" applyNumberFormat="1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2" fontId="13" fillId="0" borderId="4" xfId="0" applyNumberFormat="1" applyFont="1" applyBorder="1" applyAlignment="1">
      <alignment horizontal="right" vertical="center"/>
    </xf>
    <xf numFmtId="168" fontId="13" fillId="0" borderId="4" xfId="8" applyNumberFormat="1" applyFont="1" applyFill="1" applyBorder="1" applyAlignment="1">
      <alignment horizontal="center" vertical="center"/>
    </xf>
    <xf numFmtId="166" fontId="13" fillId="0" borderId="4" xfId="0" applyNumberFormat="1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166" fontId="13" fillId="0" borderId="5" xfId="0" applyNumberFormat="1" applyFont="1" applyBorder="1" applyAlignment="1">
      <alignment vertical="center"/>
    </xf>
    <xf numFmtId="4" fontId="14" fillId="0" borderId="7" xfId="0" applyNumberFormat="1" applyFont="1" applyBorder="1" applyAlignment="1">
      <alignment horizontal="right" vertical="center"/>
    </xf>
    <xf numFmtId="2" fontId="14" fillId="0" borderId="7" xfId="0" applyNumberFormat="1" applyFont="1" applyBorder="1" applyAlignment="1">
      <alignment horizontal="right" vertical="center"/>
    </xf>
    <xf numFmtId="168" fontId="14" fillId="0" borderId="7" xfId="8" applyNumberFormat="1" applyFont="1" applyFill="1" applyBorder="1" applyAlignment="1">
      <alignment horizontal="center" vertical="center"/>
    </xf>
    <xf numFmtId="4" fontId="14" fillId="0" borderId="3" xfId="0" applyNumberFormat="1" applyFont="1" applyBorder="1" applyAlignment="1">
      <alignment horizontal="right" vertical="center"/>
    </xf>
    <xf numFmtId="168" fontId="14" fillId="2" borderId="3" xfId="8" applyNumberFormat="1" applyFont="1" applyFill="1" applyBorder="1" applyAlignment="1">
      <alignment horizontal="center" vertical="center"/>
    </xf>
    <xf numFmtId="0" fontId="16" fillId="2" borderId="3" xfId="0" applyFont="1" applyFill="1" applyBorder="1"/>
    <xf numFmtId="0" fontId="14" fillId="2" borderId="6" xfId="0" applyFont="1" applyFill="1" applyBorder="1" applyAlignment="1">
      <alignment horizontal="center" vertical="center"/>
    </xf>
    <xf numFmtId="166" fontId="13" fillId="2" borderId="3" xfId="17" applyNumberFormat="1" applyFont="1" applyFill="1" applyBorder="1" applyAlignment="1">
      <alignment horizontal="center" vertical="center"/>
    </xf>
    <xf numFmtId="168" fontId="14" fillId="0" borderId="3" xfId="8" applyNumberFormat="1" applyFont="1" applyFill="1" applyBorder="1" applyAlignment="1">
      <alignment horizontal="center" vertical="center"/>
    </xf>
    <xf numFmtId="166" fontId="13" fillId="2" borderId="3" xfId="17" applyNumberFormat="1" applyFont="1" applyFill="1" applyBorder="1" applyAlignment="1">
      <alignment horizontal="right" vertical="center"/>
    </xf>
    <xf numFmtId="2" fontId="14" fillId="0" borderId="3" xfId="6" applyNumberFormat="1" applyFont="1" applyBorder="1" applyAlignment="1">
      <alignment horizontal="right" vertical="center"/>
    </xf>
    <xf numFmtId="0" fontId="14" fillId="2" borderId="3" xfId="23" applyNumberFormat="1" applyFont="1" applyFill="1" applyBorder="1" applyAlignment="1">
      <alignment horizontal="center" vertical="center" wrapText="1"/>
    </xf>
    <xf numFmtId="0" fontId="14" fillId="2" borderId="3" xfId="23" applyNumberFormat="1" applyFont="1" applyFill="1" applyBorder="1" applyAlignment="1">
      <alignment horizontal="right" vertical="center" wrapText="1"/>
    </xf>
    <xf numFmtId="0" fontId="11" fillId="10" borderId="0" xfId="0" applyFont="1" applyFill="1" applyAlignment="1">
      <alignment vertical="center"/>
    </xf>
    <xf numFmtId="2" fontId="14" fillId="10" borderId="6" xfId="6" applyNumberFormat="1" applyFont="1" applyFill="1" applyBorder="1" applyAlignment="1">
      <alignment horizontal="right" vertical="center"/>
    </xf>
    <xf numFmtId="2" fontId="14" fillId="10" borderId="3" xfId="6" applyNumberFormat="1" applyFont="1" applyFill="1" applyBorder="1" applyAlignment="1">
      <alignment horizontal="right" vertical="center"/>
    </xf>
    <xf numFmtId="2" fontId="6" fillId="0" borderId="7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vertical="center"/>
    </xf>
    <xf numFmtId="0" fontId="0" fillId="0" borderId="8" xfId="0" applyBorder="1"/>
    <xf numFmtId="0" fontId="11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66" fontId="12" fillId="0" borderId="12" xfId="0" applyNumberFormat="1" applyFont="1" applyBorder="1" applyAlignment="1">
      <alignment vertical="center"/>
    </xf>
    <xf numFmtId="166" fontId="12" fillId="0" borderId="21" xfId="0" applyNumberFormat="1" applyFont="1" applyBorder="1" applyAlignment="1">
      <alignment vertical="center"/>
    </xf>
    <xf numFmtId="2" fontId="14" fillId="2" borderId="8" xfId="2" applyNumberFormat="1" applyFont="1" applyFill="1" applyBorder="1" applyAlignment="1">
      <alignment horizontal="right" vertical="center"/>
    </xf>
    <xf numFmtId="164" fontId="12" fillId="2" borderId="3" xfId="17" applyFont="1" applyFill="1" applyBorder="1" applyAlignment="1">
      <alignment horizontal="center" vertical="center"/>
    </xf>
    <xf numFmtId="164" fontId="13" fillId="2" borderId="3" xfId="17" applyFont="1" applyFill="1" applyBorder="1" applyAlignment="1">
      <alignment horizontal="right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2" fontId="11" fillId="0" borderId="0" xfId="0" applyNumberFormat="1" applyFont="1" applyAlignment="1">
      <alignment vertical="center"/>
    </xf>
    <xf numFmtId="168" fontId="14" fillId="0" borderId="0" xfId="8" applyNumberFormat="1" applyFont="1" applyFill="1" applyBorder="1" applyAlignment="1">
      <alignment horizontal="center" vertical="center"/>
    </xf>
    <xf numFmtId="166" fontId="14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164" fontId="13" fillId="2" borderId="3" xfId="17" applyFont="1" applyFill="1" applyBorder="1" applyAlignment="1">
      <alignment horizontal="right" vertical="center"/>
    </xf>
    <xf numFmtId="0" fontId="11" fillId="0" borderId="0" xfId="23" applyNumberFormat="1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9" fontId="11" fillId="2" borderId="3" xfId="17" applyNumberFormat="1" applyFont="1" applyFill="1" applyBorder="1" applyAlignment="1">
      <alignment horizontal="center"/>
    </xf>
    <xf numFmtId="0" fontId="6" fillId="0" borderId="9" xfId="0" applyFont="1" applyBorder="1" applyAlignment="1">
      <alignment vertical="center"/>
    </xf>
    <xf numFmtId="2" fontId="14" fillId="2" borderId="3" xfId="23" applyNumberFormat="1" applyFont="1" applyFill="1" applyBorder="1" applyAlignment="1">
      <alignment horizontal="right" vertical="center" wrapText="1"/>
    </xf>
    <xf numFmtId="166" fontId="14" fillId="2" borderId="3" xfId="23" applyNumberFormat="1" applyFont="1" applyFill="1" applyBorder="1" applyAlignment="1">
      <alignment horizontal="right" vertical="center" wrapText="1"/>
    </xf>
    <xf numFmtId="164" fontId="13" fillId="11" borderId="3" xfId="17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165" fontId="14" fillId="2" borderId="3" xfId="23" applyNumberFormat="1" applyFont="1" applyFill="1" applyBorder="1" applyAlignment="1">
      <alignment horizontal="center" vertical="center" wrapText="1"/>
    </xf>
    <xf numFmtId="0" fontId="14" fillId="9" borderId="3" xfId="23" applyNumberFormat="1" applyFont="1" applyFill="1" applyBorder="1" applyAlignment="1">
      <alignment horizontal="right" vertical="center" wrapText="1"/>
    </xf>
    <xf numFmtId="165" fontId="14" fillId="9" borderId="3" xfId="23" applyNumberFormat="1" applyFont="1" applyFill="1" applyBorder="1" applyAlignment="1">
      <alignment horizontal="center" vertical="center" wrapText="1"/>
    </xf>
    <xf numFmtId="0" fontId="14" fillId="9" borderId="3" xfId="23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4" fillId="0" borderId="9" xfId="21" applyNumberFormat="1" applyFont="1" applyFill="1" applyBorder="1" applyAlignment="1">
      <alignment horizontal="center" vertical="center" wrapText="1"/>
    </xf>
    <xf numFmtId="166" fontId="11" fillId="0" borderId="7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2" fontId="14" fillId="0" borderId="9" xfId="21" applyNumberFormat="1" applyFont="1" applyFill="1" applyBorder="1" applyAlignment="1">
      <alignment horizontal="right" vertical="center" wrapText="1" shrinkToFit="1"/>
    </xf>
    <xf numFmtId="0" fontId="14" fillId="2" borderId="14" xfId="6" applyFont="1" applyFill="1" applyBorder="1" applyAlignment="1">
      <alignment horizontal="center" vertical="center"/>
    </xf>
    <xf numFmtId="164" fontId="13" fillId="0" borderId="3" xfId="17" applyFont="1" applyFill="1" applyBorder="1" applyAlignment="1">
      <alignment horizontal="center" vertical="center"/>
    </xf>
    <xf numFmtId="166" fontId="11" fillId="0" borderId="3" xfId="0" applyNumberFormat="1" applyFont="1" applyBorder="1"/>
    <xf numFmtId="0" fontId="11" fillId="9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164" fontId="11" fillId="3" borderId="3" xfId="17" applyFont="1" applyFill="1" applyBorder="1" applyAlignment="1">
      <alignment horizontal="center" vertical="center"/>
    </xf>
    <xf numFmtId="0" fontId="12" fillId="2" borderId="3" xfId="6" applyFont="1" applyFill="1" applyBorder="1" applyAlignment="1">
      <alignment horizontal="center" vertical="center"/>
    </xf>
    <xf numFmtId="0" fontId="14" fillId="2" borderId="9" xfId="6" applyFont="1" applyFill="1" applyBorder="1" applyAlignment="1">
      <alignment horizontal="center"/>
    </xf>
    <xf numFmtId="168" fontId="13" fillId="2" borderId="3" xfId="17" applyNumberFormat="1" applyFont="1" applyFill="1" applyBorder="1" applyAlignment="1">
      <alignment horizontal="center"/>
    </xf>
    <xf numFmtId="2" fontId="11" fillId="2" borderId="8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right" vertical="center"/>
    </xf>
    <xf numFmtId="0" fontId="18" fillId="8" borderId="13" xfId="6" applyFont="1" applyFill="1" applyBorder="1" applyAlignment="1">
      <alignment horizontal="left" vertical="center"/>
    </xf>
    <xf numFmtId="167" fontId="13" fillId="8" borderId="8" xfId="17" applyNumberFormat="1" applyFont="1" applyFill="1" applyBorder="1" applyAlignment="1">
      <alignment horizontal="center" vertical="center"/>
    </xf>
    <xf numFmtId="164" fontId="13" fillId="8" borderId="8" xfId="17" applyFont="1" applyFill="1" applyBorder="1" applyAlignment="1">
      <alignment horizontal="center" vertical="center"/>
    </xf>
    <xf numFmtId="0" fontId="13" fillId="8" borderId="8" xfId="6" applyFont="1" applyFill="1" applyBorder="1" applyAlignment="1">
      <alignment horizontal="center" vertical="center"/>
    </xf>
    <xf numFmtId="169" fontId="13" fillId="8" borderId="8" xfId="17" applyNumberFormat="1" applyFont="1" applyFill="1" applyBorder="1" applyAlignment="1">
      <alignment horizontal="center" vertical="center"/>
    </xf>
    <xf numFmtId="164" fontId="12" fillId="8" borderId="12" xfId="17" applyFont="1" applyFill="1" applyBorder="1" applyAlignment="1">
      <alignment horizontal="center" vertical="center"/>
    </xf>
    <xf numFmtId="0" fontId="18" fillId="12" borderId="13" xfId="6" applyFont="1" applyFill="1" applyBorder="1" applyAlignment="1">
      <alignment horizontal="left" vertical="center"/>
    </xf>
    <xf numFmtId="167" fontId="13" fillId="12" borderId="8" xfId="17" applyNumberFormat="1" applyFont="1" applyFill="1" applyBorder="1" applyAlignment="1">
      <alignment horizontal="center" vertical="center"/>
    </xf>
    <xf numFmtId="164" fontId="13" fillId="12" borderId="8" xfId="17" applyFont="1" applyFill="1" applyBorder="1" applyAlignment="1">
      <alignment horizontal="center" vertical="center"/>
    </xf>
    <xf numFmtId="0" fontId="13" fillId="12" borderId="8" xfId="6" applyFont="1" applyFill="1" applyBorder="1" applyAlignment="1">
      <alignment horizontal="center" vertical="center"/>
    </xf>
    <xf numFmtId="169" fontId="13" fillId="12" borderId="8" xfId="17" applyNumberFormat="1" applyFont="1" applyFill="1" applyBorder="1" applyAlignment="1">
      <alignment horizontal="center" vertical="center"/>
    </xf>
    <xf numFmtId="164" fontId="12" fillId="12" borderId="12" xfId="17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vertical="center"/>
    </xf>
    <xf numFmtId="0" fontId="0" fillId="12" borderId="4" xfId="0" applyFill="1" applyBorder="1"/>
    <xf numFmtId="0" fontId="11" fillId="12" borderId="4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vertical="center"/>
    </xf>
    <xf numFmtId="0" fontId="11" fillId="8" borderId="13" xfId="0" applyFont="1" applyFill="1" applyBorder="1" applyAlignment="1">
      <alignment vertical="center"/>
    </xf>
    <xf numFmtId="0" fontId="0" fillId="8" borderId="8" xfId="0" applyFill="1" applyBorder="1"/>
    <xf numFmtId="0" fontId="0" fillId="8" borderId="12" xfId="0" applyFill="1" applyBorder="1"/>
    <xf numFmtId="0" fontId="11" fillId="3" borderId="6" xfId="0" applyFont="1" applyFill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5" borderId="0" xfId="0" applyFont="1" applyFill="1" applyAlignment="1">
      <alignment horizontal="right" vertical="center"/>
    </xf>
    <xf numFmtId="166" fontId="14" fillId="0" borderId="3" xfId="23" applyNumberFormat="1" applyFont="1" applyFill="1" applyBorder="1" applyAlignment="1">
      <alignment horizontal="center" vertical="center" wrapText="1"/>
    </xf>
    <xf numFmtId="168" fontId="14" fillId="2" borderId="3" xfId="23" applyNumberFormat="1" applyFont="1" applyFill="1" applyBorder="1" applyAlignment="1">
      <alignment horizontal="center" vertical="center" wrapText="1" shrinkToFit="1"/>
    </xf>
    <xf numFmtId="2" fontId="14" fillId="0" borderId="0" xfId="0" applyNumberFormat="1" applyFont="1" applyAlignment="1">
      <alignment horizontal="right" vertical="center"/>
    </xf>
    <xf numFmtId="2" fontId="14" fillId="5" borderId="0" xfId="0" applyNumberFormat="1" applyFont="1" applyFill="1" applyAlignment="1">
      <alignment horizontal="right" vertical="center"/>
    </xf>
    <xf numFmtId="166" fontId="14" fillId="0" borderId="7" xfId="23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/>
    </xf>
    <xf numFmtId="165" fontId="14" fillId="0" borderId="3" xfId="23" applyNumberFormat="1" applyFont="1" applyFill="1" applyBorder="1" applyAlignment="1">
      <alignment horizontal="center" vertical="center" wrapText="1"/>
    </xf>
    <xf numFmtId="166" fontId="11" fillId="0" borderId="3" xfId="23" applyNumberFormat="1" applyFont="1" applyFill="1" applyBorder="1" applyAlignment="1">
      <alignment horizontal="right" vertical="center" wrapText="1"/>
    </xf>
    <xf numFmtId="166" fontId="13" fillId="0" borderId="3" xfId="17" applyNumberFormat="1" applyFont="1" applyFill="1" applyBorder="1" applyAlignment="1">
      <alignment horizontal="right" vertical="center"/>
    </xf>
    <xf numFmtId="166" fontId="13" fillId="0" borderId="3" xfId="6" applyNumberFormat="1" applyFont="1" applyBorder="1" applyAlignment="1">
      <alignment horizontal="right" vertical="center"/>
    </xf>
    <xf numFmtId="166" fontId="12" fillId="0" borderId="3" xfId="17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1" fillId="0" borderId="3" xfId="23" applyNumberFormat="1" applyFont="1" applyFill="1" applyBorder="1" applyAlignment="1">
      <alignment horizontal="center" vertical="center" wrapText="1"/>
    </xf>
    <xf numFmtId="0" fontId="14" fillId="0" borderId="3" xfId="23" applyNumberFormat="1" applyFont="1" applyFill="1" applyBorder="1" applyAlignment="1">
      <alignment horizontal="center" vertical="center" wrapText="1"/>
    </xf>
    <xf numFmtId="0" fontId="14" fillId="0" borderId="3" xfId="23" applyNumberFormat="1" applyFont="1" applyFill="1" applyBorder="1" applyAlignment="1">
      <alignment horizontal="right" vertical="center" wrapText="1"/>
    </xf>
    <xf numFmtId="0" fontId="14" fillId="0" borderId="7" xfId="23" applyNumberFormat="1" applyFont="1" applyFill="1" applyBorder="1" applyAlignment="1">
      <alignment horizontal="center" vertical="center" wrapText="1"/>
    </xf>
    <xf numFmtId="2" fontId="14" fillId="0" borderId="3" xfId="23" applyNumberFormat="1" applyFont="1" applyFill="1" applyBorder="1" applyAlignment="1">
      <alignment horizontal="right" vertical="center" wrapText="1"/>
    </xf>
    <xf numFmtId="2" fontId="14" fillId="5" borderId="3" xfId="0" applyNumberFormat="1" applyFont="1" applyFill="1" applyBorder="1" applyAlignment="1">
      <alignment horizontal="right" vertical="center"/>
    </xf>
    <xf numFmtId="169" fontId="13" fillId="0" borderId="3" xfId="17" applyNumberFormat="1" applyFont="1" applyFill="1" applyBorder="1" applyAlignment="1">
      <alignment horizontal="center" vertical="center"/>
    </xf>
    <xf numFmtId="0" fontId="13" fillId="0" borderId="3" xfId="6" applyFont="1" applyBorder="1" applyAlignment="1">
      <alignment horizontal="center" vertical="center"/>
    </xf>
    <xf numFmtId="164" fontId="12" fillId="0" borderId="3" xfId="17" applyFont="1" applyFill="1" applyBorder="1" applyAlignment="1">
      <alignment horizontal="center" vertical="center"/>
    </xf>
    <xf numFmtId="0" fontId="13" fillId="0" borderId="3" xfId="6" applyFont="1" applyBorder="1" applyAlignment="1">
      <alignment horizontal="right" vertical="center"/>
    </xf>
    <xf numFmtId="2" fontId="13" fillId="0" borderId="3" xfId="6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165" fontId="14" fillId="0" borderId="7" xfId="0" applyNumberFormat="1" applyFont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center"/>
    </xf>
    <xf numFmtId="165" fontId="14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164" fontId="11" fillId="2" borderId="3" xfId="17" applyFont="1" applyFill="1" applyBorder="1" applyAlignment="1">
      <alignment horizontal="center" vertical="center" wrapText="1"/>
    </xf>
    <xf numFmtId="0" fontId="11" fillId="2" borderId="9" xfId="17" applyNumberFormat="1" applyFont="1" applyFill="1" applyBorder="1" applyAlignment="1">
      <alignment horizontal="center" vertical="center" wrapText="1"/>
    </xf>
    <xf numFmtId="2" fontId="14" fillId="0" borderId="0" xfId="0" quotePrefix="1" applyNumberFormat="1" applyFont="1" applyAlignment="1">
      <alignment horizontal="right" vertical="center"/>
    </xf>
    <xf numFmtId="164" fontId="12" fillId="4" borderId="9" xfId="17" applyFont="1" applyFill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/>
    </xf>
    <xf numFmtId="166" fontId="14" fillId="2" borderId="4" xfId="0" applyNumberFormat="1" applyFont="1" applyFill="1" applyBorder="1" applyAlignment="1">
      <alignment horizontal="right" vertical="center"/>
    </xf>
    <xf numFmtId="166" fontId="12" fillId="2" borderId="1" xfId="6" applyNumberFormat="1" applyFont="1" applyFill="1" applyBorder="1" applyAlignment="1">
      <alignment horizontal="right"/>
    </xf>
    <xf numFmtId="0" fontId="18" fillId="0" borderId="3" xfId="23" applyNumberFormat="1" applyFont="1" applyFill="1" applyBorder="1" applyAlignment="1">
      <alignment horizontal="center" vertical="center" wrapText="1"/>
    </xf>
    <xf numFmtId="0" fontId="14" fillId="0" borderId="6" xfId="23" applyNumberFormat="1" applyFont="1" applyFill="1" applyBorder="1" applyAlignment="1">
      <alignment horizontal="center" vertical="center" wrapText="1"/>
    </xf>
    <xf numFmtId="2" fontId="14" fillId="0" borderId="3" xfId="23" applyNumberFormat="1" applyFont="1" applyFill="1" applyBorder="1" applyAlignment="1">
      <alignment horizontal="center" vertical="center" wrapText="1"/>
    </xf>
    <xf numFmtId="3" fontId="11" fillId="0" borderId="0" xfId="23" applyNumberFormat="1" applyFont="1" applyFill="1" applyBorder="1" applyAlignment="1">
      <alignment horizontal="center" vertical="center" wrapText="1" shrinkToFit="1"/>
    </xf>
    <xf numFmtId="3" fontId="11" fillId="0" borderId="7" xfId="23" applyNumberFormat="1" applyFont="1" applyFill="1" applyBorder="1" applyAlignment="1">
      <alignment horizontal="center" vertical="center" wrapText="1" shrinkToFit="1"/>
    </xf>
    <xf numFmtId="0" fontId="14" fillId="5" borderId="3" xfId="0" applyFont="1" applyFill="1" applyBorder="1" applyAlignment="1">
      <alignment horizontal="right" vertical="center"/>
    </xf>
    <xf numFmtId="0" fontId="11" fillId="0" borderId="13" xfId="23" applyNumberFormat="1" applyFont="1" applyFill="1" applyBorder="1" applyAlignment="1">
      <alignment horizontal="center" vertical="center" wrapText="1"/>
    </xf>
    <xf numFmtId="164" fontId="14" fillId="0" borderId="3" xfId="17" applyFont="1" applyFill="1" applyBorder="1" applyAlignment="1">
      <alignment horizontal="center" vertical="center"/>
    </xf>
    <xf numFmtId="164" fontId="13" fillId="0" borderId="3" xfId="17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165" fontId="14" fillId="0" borderId="0" xfId="0" applyNumberFormat="1" applyFont="1" applyAlignment="1">
      <alignment horizontal="center" vertical="center"/>
    </xf>
    <xf numFmtId="2" fontId="2" fillId="0" borderId="13" xfId="0" applyNumberFormat="1" applyFont="1" applyBorder="1" applyAlignment="1">
      <alignment vertical="center"/>
    </xf>
    <xf numFmtId="2" fontId="2" fillId="0" borderId="6" xfId="0" applyNumberFormat="1" applyFont="1" applyBorder="1" applyAlignment="1">
      <alignment vertical="center"/>
    </xf>
    <xf numFmtId="2" fontId="14" fillId="2" borderId="6" xfId="0" applyNumberFormat="1" applyFont="1" applyFill="1" applyBorder="1" applyAlignment="1">
      <alignment vertical="center"/>
    </xf>
    <xf numFmtId="0" fontId="11" fillId="0" borderId="3" xfId="23" applyNumberFormat="1" applyFont="1" applyFill="1" applyBorder="1" applyAlignment="1">
      <alignment horizontal="right" vertical="center" wrapText="1"/>
    </xf>
    <xf numFmtId="0" fontId="14" fillId="2" borderId="13" xfId="6" applyFont="1" applyFill="1" applyBorder="1" applyAlignment="1">
      <alignment horizontal="center" vertical="center"/>
    </xf>
    <xf numFmtId="164" fontId="13" fillId="2" borderId="10" xfId="17" applyFont="1" applyFill="1" applyBorder="1" applyAlignment="1">
      <alignment horizontal="center" vertical="center"/>
    </xf>
    <xf numFmtId="2" fontId="14" fillId="0" borderId="7" xfId="23" applyNumberFormat="1" applyFont="1" applyFill="1" applyBorder="1" applyAlignment="1">
      <alignment horizontal="center" vertical="center" wrapText="1"/>
    </xf>
    <xf numFmtId="164" fontId="11" fillId="2" borderId="7" xfId="17" applyFont="1" applyFill="1" applyBorder="1" applyAlignment="1">
      <alignment horizontal="center" vertical="center" wrapText="1"/>
    </xf>
    <xf numFmtId="167" fontId="11" fillId="0" borderId="3" xfId="17" applyNumberFormat="1" applyFont="1" applyFill="1" applyBorder="1" applyAlignment="1">
      <alignment horizontal="center" vertical="center"/>
    </xf>
    <xf numFmtId="164" fontId="11" fillId="0" borderId="3" xfId="17" applyFont="1" applyFill="1" applyBorder="1" applyAlignment="1" applyProtection="1">
      <alignment horizontal="center" vertical="center"/>
    </xf>
    <xf numFmtId="169" fontId="11" fillId="0" borderId="3" xfId="17" applyNumberFormat="1" applyFont="1" applyFill="1" applyBorder="1" applyAlignment="1" applyProtection="1">
      <alignment horizontal="center" vertical="center"/>
    </xf>
    <xf numFmtId="167" fontId="11" fillId="0" borderId="3" xfId="17" applyNumberFormat="1" applyFont="1" applyFill="1" applyBorder="1" applyAlignment="1" applyProtection="1">
      <alignment horizontal="center"/>
    </xf>
    <xf numFmtId="164" fontId="11" fillId="0" borderId="3" xfId="17" applyFont="1" applyFill="1" applyBorder="1" applyAlignment="1" applyProtection="1">
      <alignment horizontal="center"/>
    </xf>
    <xf numFmtId="169" fontId="11" fillId="0" borderId="3" xfId="17" applyNumberFormat="1" applyFont="1" applyFill="1" applyBorder="1" applyAlignment="1" applyProtection="1">
      <alignment horizontal="center"/>
    </xf>
    <xf numFmtId="0" fontId="18" fillId="0" borderId="6" xfId="6" applyFont="1" applyBorder="1" applyAlignment="1">
      <alignment horizontal="left" vertical="center"/>
    </xf>
    <xf numFmtId="167" fontId="13" fillId="0" borderId="3" xfId="17" applyNumberFormat="1" applyFont="1" applyFill="1" applyBorder="1" applyAlignment="1" applyProtection="1">
      <alignment horizontal="center" vertical="center"/>
    </xf>
    <xf numFmtId="164" fontId="13" fillId="0" borderId="3" xfId="17" applyFont="1" applyFill="1" applyBorder="1" applyAlignment="1" applyProtection="1">
      <alignment horizontal="center" vertical="center"/>
    </xf>
    <xf numFmtId="164" fontId="13" fillId="0" borderId="5" xfId="17" applyFont="1" applyFill="1" applyBorder="1" applyAlignment="1" applyProtection="1">
      <alignment horizontal="center" vertical="center"/>
    </xf>
    <xf numFmtId="164" fontId="13" fillId="0" borderId="4" xfId="17" applyFont="1" applyFill="1" applyBorder="1" applyAlignment="1" applyProtection="1">
      <alignment horizontal="center" vertical="center"/>
    </xf>
    <xf numFmtId="0" fontId="13" fillId="0" borderId="4" xfId="6" applyFont="1" applyBorder="1" applyAlignment="1">
      <alignment horizontal="center" vertical="center"/>
    </xf>
    <xf numFmtId="169" fontId="13" fillId="0" borderId="3" xfId="17" applyNumberFormat="1" applyFont="1" applyFill="1" applyBorder="1" applyAlignment="1" applyProtection="1">
      <alignment horizontal="center" vertical="center"/>
    </xf>
    <xf numFmtId="164" fontId="12" fillId="0" borderId="5" xfId="17" applyFont="1" applyFill="1" applyBorder="1" applyAlignment="1" applyProtection="1">
      <alignment horizontal="center" vertical="center"/>
    </xf>
    <xf numFmtId="4" fontId="14" fillId="2" borderId="3" xfId="0" applyNumberFormat="1" applyFont="1" applyFill="1" applyBorder="1" applyAlignment="1" applyProtection="1">
      <alignment horizontal="left" vertical="center"/>
      <protection hidden="1"/>
    </xf>
    <xf numFmtId="164" fontId="24" fillId="2" borderId="3" xfId="12" applyFont="1" applyFill="1" applyBorder="1" applyAlignment="1" applyProtection="1">
      <alignment horizontal="center" vertical="center"/>
      <protection hidden="1"/>
    </xf>
    <xf numFmtId="164" fontId="14" fillId="2" borderId="3" xfId="12" applyFont="1" applyFill="1" applyBorder="1" applyAlignment="1" applyProtection="1">
      <alignment horizontal="center" vertical="center"/>
      <protection hidden="1"/>
    </xf>
    <xf numFmtId="164" fontId="14" fillId="2" borderId="5" xfId="12" applyFont="1" applyFill="1" applyBorder="1" applyAlignment="1" applyProtection="1">
      <alignment horizontal="center" vertical="center"/>
      <protection hidden="1"/>
    </xf>
    <xf numFmtId="166" fontId="14" fillId="0" borderId="4" xfId="0" applyNumberFormat="1" applyFont="1" applyBorder="1" applyAlignment="1">
      <alignment horizontal="right" vertical="center"/>
    </xf>
    <xf numFmtId="166" fontId="14" fillId="0" borderId="5" xfId="0" applyNumberFormat="1" applyFont="1" applyBorder="1" applyAlignment="1">
      <alignment vertical="center"/>
    </xf>
    <xf numFmtId="4" fontId="14" fillId="2" borderId="9" xfId="0" applyNumberFormat="1" applyFont="1" applyFill="1" applyBorder="1" applyAlignment="1" applyProtection="1">
      <alignment horizontal="left" vertical="center"/>
      <protection hidden="1"/>
    </xf>
    <xf numFmtId="4" fontId="1" fillId="2" borderId="6" xfId="0" applyNumberFormat="1" applyFont="1" applyFill="1" applyBorder="1" applyAlignment="1" applyProtection="1">
      <alignment horizontal="left" vertical="center"/>
      <protection hidden="1"/>
    </xf>
    <xf numFmtId="2" fontId="14" fillId="0" borderId="6" xfId="0" applyNumberFormat="1" applyFont="1" applyBorder="1" applyAlignment="1">
      <alignment vertical="center"/>
    </xf>
    <xf numFmtId="0" fontId="14" fillId="2" borderId="3" xfId="0" applyFont="1" applyFill="1" applyBorder="1" applyAlignment="1" applyProtection="1">
      <alignment horizontal="left" vertical="center"/>
      <protection hidden="1"/>
    </xf>
    <xf numFmtId="164" fontId="14" fillId="2" borderId="3" xfId="12" applyFont="1" applyFill="1" applyBorder="1" applyAlignment="1" applyProtection="1">
      <alignment vertical="center"/>
      <protection hidden="1"/>
    </xf>
    <xf numFmtId="0" fontId="14" fillId="2" borderId="6" xfId="0" applyFont="1" applyFill="1" applyBorder="1" applyAlignment="1" applyProtection="1">
      <alignment horizontal="left" vertical="center"/>
      <protection hidden="1"/>
    </xf>
    <xf numFmtId="0" fontId="14" fillId="0" borderId="3" xfId="0" applyFont="1" applyBorder="1"/>
    <xf numFmtId="164" fontId="11" fillId="2" borderId="3" xfId="12" applyFont="1" applyFill="1" applyBorder="1" applyAlignment="1" applyProtection="1">
      <alignment vertical="center"/>
      <protection hidden="1"/>
    </xf>
    <xf numFmtId="0" fontId="11" fillId="0" borderId="3" xfId="0" applyFont="1" applyBorder="1" applyAlignment="1">
      <alignment horizontal="center" vertical="center"/>
    </xf>
    <xf numFmtId="166" fontId="11" fillId="0" borderId="3" xfId="0" applyNumberFormat="1" applyFont="1" applyBorder="1" applyAlignment="1">
      <alignment vertical="center"/>
    </xf>
    <xf numFmtId="164" fontId="11" fillId="3" borderId="9" xfId="17" applyFont="1" applyFill="1" applyBorder="1" applyAlignment="1">
      <alignment horizontal="center" vertical="center"/>
    </xf>
    <xf numFmtId="164" fontId="11" fillId="0" borderId="0" xfId="17" applyFont="1" applyFill="1" applyBorder="1" applyAlignment="1">
      <alignment horizontal="center" vertical="center"/>
    </xf>
    <xf numFmtId="0" fontId="11" fillId="0" borderId="0" xfId="6" applyFont="1" applyAlignment="1">
      <alignment horizontal="center"/>
    </xf>
    <xf numFmtId="164" fontId="11" fillId="0" borderId="0" xfId="17" applyFont="1" applyFill="1" applyBorder="1" applyAlignment="1">
      <alignment horizontal="center"/>
    </xf>
    <xf numFmtId="166" fontId="13" fillId="0" borderId="0" xfId="0" applyNumberFormat="1" applyFont="1" applyAlignment="1">
      <alignment horizontal="right" vertical="center"/>
    </xf>
    <xf numFmtId="166" fontId="13" fillId="0" borderId="0" xfId="0" applyNumberFormat="1" applyFont="1" applyAlignment="1">
      <alignment horizontal="center" vertical="center"/>
    </xf>
    <xf numFmtId="166" fontId="13" fillId="0" borderId="0" xfId="2" applyNumberFormat="1" applyFont="1" applyAlignment="1">
      <alignment horizontal="right" vertical="center"/>
    </xf>
    <xf numFmtId="166" fontId="14" fillId="0" borderId="0" xfId="0" applyNumberFormat="1" applyFont="1" applyAlignment="1">
      <alignment horizontal="right" vertical="center"/>
    </xf>
    <xf numFmtId="166" fontId="14" fillId="0" borderId="0" xfId="0" applyNumberFormat="1" applyFont="1" applyAlignment="1">
      <alignment horizontal="center" vertical="center"/>
    </xf>
    <xf numFmtId="166" fontId="14" fillId="0" borderId="0" xfId="2" applyNumberFormat="1" applyFont="1" applyAlignment="1">
      <alignment horizontal="right" vertical="center"/>
    </xf>
    <xf numFmtId="166" fontId="11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center" vertical="center" wrapText="1"/>
    </xf>
    <xf numFmtId="164" fontId="11" fillId="0" borderId="14" xfId="17" applyFont="1" applyFill="1" applyBorder="1" applyAlignment="1">
      <alignment horizontal="center" vertical="center"/>
    </xf>
    <xf numFmtId="167" fontId="11" fillId="0" borderId="14" xfId="17" applyNumberFormat="1" applyFont="1" applyFill="1" applyBorder="1" applyAlignment="1">
      <alignment horizontal="center"/>
    </xf>
    <xf numFmtId="168" fontId="13" fillId="0" borderId="14" xfId="0" applyNumberFormat="1" applyFont="1" applyBorder="1" applyAlignment="1">
      <alignment horizontal="center" vertical="center"/>
    </xf>
    <xf numFmtId="168" fontId="14" fillId="0" borderId="14" xfId="0" applyNumberFormat="1" applyFont="1" applyBorder="1" applyAlignment="1">
      <alignment horizontal="center" vertical="center"/>
    </xf>
    <xf numFmtId="0" fontId="0" fillId="0" borderId="9" xfId="0" applyBorder="1"/>
    <xf numFmtId="0" fontId="14" fillId="0" borderId="3" xfId="2" applyFont="1" applyBorder="1" applyAlignment="1">
      <alignment vertical="center" wrapText="1"/>
    </xf>
    <xf numFmtId="0" fontId="11" fillId="2" borderId="6" xfId="2" applyFont="1" applyFill="1" applyBorder="1" applyAlignment="1">
      <alignment vertical="center"/>
    </xf>
    <xf numFmtId="167" fontId="13" fillId="0" borderId="4" xfId="17" applyNumberFormat="1" applyFont="1" applyFill="1" applyBorder="1" applyAlignment="1">
      <alignment horizontal="center" vertical="center"/>
    </xf>
    <xf numFmtId="164" fontId="13" fillId="0" borderId="4" xfId="17" applyFont="1" applyFill="1" applyBorder="1" applyAlignment="1">
      <alignment horizontal="center" vertical="center"/>
    </xf>
    <xf numFmtId="169" fontId="13" fillId="0" borderId="5" xfId="17" applyNumberFormat="1" applyFont="1" applyFill="1" applyBorder="1" applyAlignment="1">
      <alignment horizontal="center" vertical="center"/>
    </xf>
    <xf numFmtId="169" fontId="11" fillId="2" borderId="9" xfId="17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/>
    </xf>
    <xf numFmtId="0" fontId="14" fillId="2" borderId="3" xfId="3" applyFont="1" applyFill="1" applyBorder="1" applyAlignment="1">
      <alignment horizontal="left" vertical="center"/>
    </xf>
    <xf numFmtId="166" fontId="14" fillId="2" borderId="3" xfId="11" applyNumberFormat="1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2" fontId="14" fillId="2" borderId="5" xfId="0" applyNumberFormat="1" applyFont="1" applyFill="1" applyBorder="1" applyAlignment="1">
      <alignment vertical="center"/>
    </xf>
    <xf numFmtId="43" fontId="14" fillId="2" borderId="4" xfId="11" applyFont="1" applyFill="1" applyBorder="1" applyAlignment="1">
      <alignment vertical="center"/>
    </xf>
    <xf numFmtId="0" fontId="11" fillId="2" borderId="6" xfId="3" applyFont="1" applyFill="1" applyBorder="1" applyAlignment="1">
      <alignment horizontal="left" vertical="center"/>
    </xf>
    <xf numFmtId="0" fontId="11" fillId="2" borderId="9" xfId="3" applyFont="1" applyFill="1" applyBorder="1" applyAlignment="1">
      <alignment horizontal="left" vertical="center"/>
    </xf>
    <xf numFmtId="43" fontId="14" fillId="2" borderId="1" xfId="11" applyFont="1" applyFill="1" applyBorder="1" applyAlignment="1">
      <alignment vertical="center"/>
    </xf>
    <xf numFmtId="166" fontId="14" fillId="2" borderId="1" xfId="11" applyNumberFormat="1" applyFont="1" applyFill="1" applyBorder="1" applyAlignment="1">
      <alignment horizontal="center" vertical="center"/>
    </xf>
    <xf numFmtId="43" fontId="14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2" fontId="11" fillId="2" borderId="11" xfId="0" applyNumberFormat="1" applyFont="1" applyFill="1" applyBorder="1" applyAlignment="1">
      <alignment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/>
    </xf>
    <xf numFmtId="166" fontId="14" fillId="2" borderId="4" xfId="11" applyNumberFormat="1" applyFont="1" applyFill="1" applyBorder="1" applyAlignment="1">
      <alignment vertical="center"/>
    </xf>
    <xf numFmtId="4" fontId="14" fillId="2" borderId="4" xfId="0" applyNumberFormat="1" applyFont="1" applyFill="1" applyBorder="1" applyAlignment="1">
      <alignment horizontal="right" vertical="center"/>
    </xf>
    <xf numFmtId="168" fontId="14" fillId="2" borderId="4" xfId="11" applyNumberFormat="1" applyFont="1" applyFill="1" applyBorder="1" applyAlignment="1">
      <alignment horizontal="center" vertical="center"/>
    </xf>
    <xf numFmtId="0" fontId="11" fillId="2" borderId="7" xfId="21" applyNumberFormat="1" applyFont="1" applyFill="1" applyBorder="1" applyAlignment="1">
      <alignment horizontal="center" vertical="center" wrapText="1"/>
    </xf>
    <xf numFmtId="0" fontId="11" fillId="2" borderId="10" xfId="21" applyNumberFormat="1" applyFont="1" applyFill="1" applyBorder="1" applyAlignment="1">
      <alignment horizontal="center" vertical="center" wrapText="1"/>
    </xf>
    <xf numFmtId="43" fontId="11" fillId="2" borderId="10" xfId="21" applyFont="1" applyFill="1" applyBorder="1" applyAlignment="1">
      <alignment horizontal="center" vertical="center" wrapText="1"/>
    </xf>
    <xf numFmtId="2" fontId="14" fillId="2" borderId="6" xfId="2" applyNumberFormat="1" applyFont="1" applyFill="1" applyBorder="1" applyAlignment="1">
      <alignment horizontal="center" vertical="center"/>
    </xf>
    <xf numFmtId="2" fontId="11" fillId="2" borderId="6" xfId="21" applyNumberFormat="1" applyFont="1" applyFill="1" applyBorder="1" applyAlignment="1">
      <alignment horizontal="center" vertical="center" shrinkToFit="1"/>
    </xf>
    <xf numFmtId="2" fontId="14" fillId="2" borderId="4" xfId="21" applyNumberFormat="1" applyFont="1" applyFill="1" applyBorder="1" applyAlignment="1">
      <alignment horizontal="right" vertical="center" wrapText="1" shrinkToFit="1"/>
    </xf>
    <xf numFmtId="173" fontId="14" fillId="2" borderId="4" xfId="6" applyNumberFormat="1" applyFont="1" applyFill="1" applyBorder="1" applyAlignment="1">
      <alignment horizontal="right" vertical="center"/>
    </xf>
    <xf numFmtId="173" fontId="14" fillId="2" borderId="4" xfId="17" applyNumberFormat="1" applyFont="1" applyFill="1" applyBorder="1" applyAlignment="1">
      <alignment horizontal="right" vertical="center"/>
    </xf>
    <xf numFmtId="2" fontId="14" fillId="2" borderId="10" xfId="21" applyNumberFormat="1" applyFont="1" applyFill="1" applyBorder="1" applyAlignment="1">
      <alignment horizontal="right" vertical="center" wrapText="1" shrinkToFit="1"/>
    </xf>
    <xf numFmtId="166" fontId="14" fillId="2" borderId="9" xfId="6" applyNumberFormat="1" applyFont="1" applyFill="1" applyBorder="1" applyAlignment="1">
      <alignment horizontal="right" vertical="center"/>
    </xf>
    <xf numFmtId="166" fontId="14" fillId="2" borderId="4" xfId="6" applyNumberFormat="1" applyFont="1" applyFill="1" applyBorder="1" applyAlignment="1">
      <alignment horizontal="right" vertical="center"/>
    </xf>
    <xf numFmtId="166" fontId="14" fillId="2" borderId="2" xfId="6" applyNumberFormat="1" applyFont="1" applyFill="1" applyBorder="1" applyAlignment="1">
      <alignment horizontal="right" vertical="center"/>
    </xf>
    <xf numFmtId="166" fontId="14" fillId="2" borderId="11" xfId="17" applyNumberFormat="1" applyFont="1" applyFill="1" applyBorder="1" applyAlignment="1">
      <alignment horizontal="right" vertical="center"/>
    </xf>
    <xf numFmtId="2" fontId="14" fillId="2" borderId="2" xfId="21" applyNumberFormat="1" applyFont="1" applyFill="1" applyBorder="1" applyAlignment="1">
      <alignment horizontal="right" vertical="center" wrapText="1" shrinkToFit="1"/>
    </xf>
    <xf numFmtId="166" fontId="14" fillId="2" borderId="5" xfId="17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vertical="center" wrapText="1"/>
    </xf>
    <xf numFmtId="3" fontId="11" fillId="2" borderId="4" xfId="21" applyNumberFormat="1" applyFont="1" applyFill="1" applyBorder="1" applyAlignment="1">
      <alignment horizontal="center" vertical="center" wrapText="1" shrinkToFit="1"/>
    </xf>
    <xf numFmtId="0" fontId="14" fillId="2" borderId="3" xfId="2" applyFont="1" applyFill="1" applyBorder="1" applyAlignment="1">
      <alignment horizontal="right" vertical="center" wrapText="1"/>
    </xf>
    <xf numFmtId="168" fontId="14" fillId="2" borderId="3" xfId="0" applyNumberFormat="1" applyFont="1" applyFill="1" applyBorder="1" applyAlignment="1">
      <alignment horizontal="right" vertical="center"/>
    </xf>
    <xf numFmtId="166" fontId="12" fillId="0" borderId="4" xfId="0" applyNumberFormat="1" applyFont="1" applyBorder="1" applyAlignment="1">
      <alignment horizontal="right" vertical="center" wrapText="1"/>
    </xf>
    <xf numFmtId="166" fontId="14" fillId="0" borderId="0" xfId="23" applyNumberFormat="1" applyFont="1" applyFill="1" applyBorder="1" applyAlignment="1">
      <alignment horizontal="center" vertical="center" wrapText="1"/>
    </xf>
    <xf numFmtId="2" fontId="14" fillId="0" borderId="0" xfId="23" applyNumberFormat="1" applyFont="1" applyFill="1" applyBorder="1" applyAlignment="1">
      <alignment horizontal="right" vertical="center" wrapText="1" shrinkToFit="1"/>
    </xf>
    <xf numFmtId="2" fontId="14" fillId="0" borderId="0" xfId="21" applyNumberFormat="1" applyFont="1" applyFill="1" applyBorder="1" applyAlignment="1">
      <alignment horizontal="right" vertical="center" wrapText="1" shrinkToFit="1"/>
    </xf>
    <xf numFmtId="166" fontId="14" fillId="0" borderId="14" xfId="23" applyNumberFormat="1" applyFont="1" applyFill="1" applyBorder="1" applyAlignment="1">
      <alignment horizontal="center" vertical="center" wrapText="1"/>
    </xf>
    <xf numFmtId="2" fontId="14" fillId="0" borderId="14" xfId="23" applyNumberFormat="1" applyFont="1" applyFill="1" applyBorder="1" applyAlignment="1">
      <alignment horizontal="right" vertical="center" wrapText="1" shrinkToFit="1"/>
    </xf>
    <xf numFmtId="0" fontId="13" fillId="2" borderId="12" xfId="6" applyFont="1" applyFill="1" applyBorder="1" applyAlignment="1">
      <alignment horizontal="center" vertical="center"/>
    </xf>
    <xf numFmtId="0" fontId="13" fillId="2" borderId="11" xfId="6" applyFont="1" applyFill="1" applyBorder="1" applyAlignment="1">
      <alignment horizontal="center" vertical="center"/>
    </xf>
    <xf numFmtId="166" fontId="14" fillId="0" borderId="6" xfId="23" applyNumberFormat="1" applyFont="1" applyFill="1" applyBorder="1" applyAlignment="1">
      <alignment horizontal="right" vertical="center" wrapText="1"/>
    </xf>
    <xf numFmtId="166" fontId="11" fillId="2" borderId="5" xfId="23" applyNumberFormat="1" applyFont="1" applyFill="1" applyBorder="1" applyAlignment="1">
      <alignment horizontal="right" vertical="center" wrapText="1"/>
    </xf>
    <xf numFmtId="166" fontId="13" fillId="0" borderId="6" xfId="17" applyNumberFormat="1" applyFont="1" applyFill="1" applyBorder="1" applyAlignment="1">
      <alignment horizontal="right" vertical="center"/>
    </xf>
    <xf numFmtId="169" fontId="13" fillId="0" borderId="0" xfId="17" applyNumberFormat="1" applyFont="1" applyFill="1" applyBorder="1" applyAlignment="1">
      <alignment horizontal="center" vertical="center"/>
    </xf>
    <xf numFmtId="166" fontId="13" fillId="0" borderId="0" xfId="17" applyNumberFormat="1" applyFont="1" applyFill="1" applyBorder="1" applyAlignment="1">
      <alignment horizontal="right" vertical="center"/>
    </xf>
    <xf numFmtId="169" fontId="13" fillId="0" borderId="14" xfId="17" applyNumberFormat="1" applyFont="1" applyFill="1" applyBorder="1" applyAlignment="1">
      <alignment horizontal="center" vertical="center"/>
    </xf>
    <xf numFmtId="166" fontId="13" fillId="0" borderId="14" xfId="17" applyNumberFormat="1" applyFont="1" applyFill="1" applyBorder="1" applyAlignment="1">
      <alignment horizontal="right" vertical="center"/>
    </xf>
    <xf numFmtId="169" fontId="13" fillId="2" borderId="5" xfId="17" applyNumberFormat="1" applyFont="1" applyFill="1" applyBorder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8" fillId="0" borderId="0" xfId="23" applyNumberFormat="1" applyFont="1" applyFill="1" applyBorder="1" applyAlignment="1">
      <alignment horizontal="center" vertical="center" wrapText="1"/>
    </xf>
    <xf numFmtId="0" fontId="18" fillId="0" borderId="14" xfId="23" applyNumberFormat="1" applyFont="1" applyFill="1" applyBorder="1" applyAlignment="1">
      <alignment horizontal="center" vertical="center" wrapText="1"/>
    </xf>
    <xf numFmtId="0" fontId="13" fillId="0" borderId="13" xfId="6" applyFont="1" applyBorder="1" applyAlignment="1">
      <alignment horizontal="center" vertical="center"/>
    </xf>
    <xf numFmtId="0" fontId="13" fillId="0" borderId="14" xfId="6" applyFont="1" applyBorder="1" applyAlignment="1">
      <alignment horizontal="center" vertical="center"/>
    </xf>
    <xf numFmtId="2" fontId="11" fillId="2" borderId="1" xfId="0" applyNumberFormat="1" applyFont="1" applyFill="1" applyBorder="1" applyAlignment="1">
      <alignment vertical="center"/>
    </xf>
    <xf numFmtId="166" fontId="11" fillId="0" borderId="5" xfId="0" applyNumberFormat="1" applyFont="1" applyBorder="1" applyAlignment="1">
      <alignment vertical="center"/>
    </xf>
    <xf numFmtId="0" fontId="12" fillId="2" borderId="13" xfId="21" applyNumberFormat="1" applyFont="1" applyFill="1" applyBorder="1" applyAlignment="1">
      <alignment horizontal="center" vertical="center" wrapText="1"/>
    </xf>
    <xf numFmtId="166" fontId="14" fillId="2" borderId="9" xfId="17" applyNumberFormat="1" applyFont="1" applyFill="1" applyBorder="1" applyAlignment="1">
      <alignment horizontal="right" vertical="center"/>
    </xf>
    <xf numFmtId="0" fontId="12" fillId="0" borderId="0" xfId="21" applyNumberFormat="1" applyFont="1" applyFill="1" applyBorder="1" applyAlignment="1">
      <alignment horizontal="center" vertical="center" wrapText="1"/>
    </xf>
    <xf numFmtId="173" fontId="14" fillId="0" borderId="0" xfId="17" applyNumberFormat="1" applyFont="1" applyFill="1" applyBorder="1" applyAlignment="1">
      <alignment horizontal="right" vertical="center"/>
    </xf>
    <xf numFmtId="166" fontId="14" fillId="0" borderId="0" xfId="17" applyNumberFormat="1" applyFont="1" applyFill="1" applyBorder="1" applyAlignment="1">
      <alignment horizontal="right" vertical="center"/>
    </xf>
    <xf numFmtId="170" fontId="11" fillId="0" borderId="0" xfId="0" applyNumberFormat="1" applyFont="1" applyAlignment="1">
      <alignment horizontal="center" vertical="center" wrapText="1"/>
    </xf>
    <xf numFmtId="0" fontId="12" fillId="0" borderId="14" xfId="21" applyNumberFormat="1" applyFont="1" applyFill="1" applyBorder="1" applyAlignment="1">
      <alignment horizontal="center" vertical="center" wrapText="1"/>
    </xf>
    <xf numFmtId="173" fontId="14" fillId="0" borderId="14" xfId="17" applyNumberFormat="1" applyFont="1" applyFill="1" applyBorder="1" applyAlignment="1">
      <alignment horizontal="right" vertical="center"/>
    </xf>
    <xf numFmtId="166" fontId="14" fillId="0" borderId="14" xfId="17" applyNumberFormat="1" applyFont="1" applyFill="1" applyBorder="1" applyAlignment="1">
      <alignment horizontal="right" vertical="center"/>
    </xf>
    <xf numFmtId="170" fontId="11" fillId="2" borderId="5" xfId="0" applyNumberFormat="1" applyFont="1" applyFill="1" applyBorder="1" applyAlignment="1">
      <alignment horizontal="center" vertical="center" wrapText="1"/>
    </xf>
    <xf numFmtId="43" fontId="12" fillId="2" borderId="10" xfId="2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8" borderId="3" xfId="2" applyFont="1" applyFill="1" applyBorder="1" applyAlignment="1">
      <alignment vertical="center" wrapText="1"/>
    </xf>
    <xf numFmtId="0" fontId="11" fillId="8" borderId="0" xfId="0" applyFont="1" applyFill="1" applyAlignment="1">
      <alignment horizontal="center" vertical="center"/>
    </xf>
    <xf numFmtId="166" fontId="14" fillId="8" borderId="3" xfId="2" applyNumberFormat="1" applyFont="1" applyFill="1" applyBorder="1" applyAlignment="1">
      <alignment horizontal="right" vertical="center"/>
    </xf>
    <xf numFmtId="166" fontId="14" fillId="8" borderId="3" xfId="0" applyNumberFormat="1" applyFont="1" applyFill="1" applyBorder="1" applyAlignment="1">
      <alignment vertical="center"/>
    </xf>
    <xf numFmtId="0" fontId="14" fillId="9" borderId="3" xfId="2" applyFont="1" applyFill="1" applyBorder="1" applyAlignment="1">
      <alignment vertical="center" wrapText="1"/>
    </xf>
    <xf numFmtId="0" fontId="11" fillId="9" borderId="0" xfId="0" applyFont="1" applyFill="1" applyAlignment="1">
      <alignment horizontal="center" vertical="center"/>
    </xf>
    <xf numFmtId="168" fontId="11" fillId="8" borderId="3" xfId="0" applyNumberFormat="1" applyFont="1" applyFill="1" applyBorder="1" applyAlignment="1">
      <alignment horizontal="center" vertical="center"/>
    </xf>
    <xf numFmtId="168" fontId="14" fillId="8" borderId="3" xfId="0" applyNumberFormat="1" applyFont="1" applyFill="1" applyBorder="1" applyAlignment="1">
      <alignment horizontal="center" vertical="center"/>
    </xf>
    <xf numFmtId="0" fontId="11" fillId="13" borderId="0" xfId="0" applyFont="1" applyFill="1" applyAlignment="1">
      <alignment horizontal="center" vertical="center"/>
    </xf>
    <xf numFmtId="168" fontId="14" fillId="13" borderId="3" xfId="0" applyNumberFormat="1" applyFont="1" applyFill="1" applyBorder="1" applyAlignment="1">
      <alignment horizontal="center" vertical="center"/>
    </xf>
    <xf numFmtId="166" fontId="14" fillId="0" borderId="3" xfId="2" applyNumberFormat="1" applyFont="1" applyBorder="1" applyAlignment="1">
      <alignment horizontal="right" vertical="center"/>
    </xf>
    <xf numFmtId="0" fontId="14" fillId="8" borderId="0" xfId="0" applyFont="1" applyFill="1" applyAlignment="1">
      <alignment horizontal="center" vertical="center" wrapText="1"/>
    </xf>
    <xf numFmtId="0" fontId="11" fillId="14" borderId="0" xfId="0" applyFont="1" applyFill="1" applyAlignment="1">
      <alignment horizontal="center" vertical="center"/>
    </xf>
    <xf numFmtId="0" fontId="14" fillId="14" borderId="0" xfId="0" applyFont="1" applyFill="1" applyAlignment="1">
      <alignment horizontal="center" vertical="center" wrapText="1"/>
    </xf>
    <xf numFmtId="0" fontId="14" fillId="14" borderId="3" xfId="2" applyFont="1" applyFill="1" applyBorder="1" applyAlignment="1">
      <alignment vertical="center" wrapText="1"/>
    </xf>
    <xf numFmtId="166" fontId="14" fillId="14" borderId="3" xfId="2" applyNumberFormat="1" applyFont="1" applyFill="1" applyBorder="1" applyAlignment="1">
      <alignment horizontal="right" vertical="center"/>
    </xf>
    <xf numFmtId="166" fontId="14" fillId="14" borderId="3" xfId="0" applyNumberFormat="1" applyFont="1" applyFill="1" applyBorder="1" applyAlignment="1">
      <alignment vertical="center"/>
    </xf>
    <xf numFmtId="168" fontId="14" fillId="14" borderId="3" xfId="0" applyNumberFormat="1" applyFont="1" applyFill="1" applyBorder="1" applyAlignment="1">
      <alignment horizontal="center" vertical="center"/>
    </xf>
    <xf numFmtId="166" fontId="14" fillId="9" borderId="3" xfId="0" applyNumberFormat="1" applyFont="1" applyFill="1" applyBorder="1" applyAlignment="1">
      <alignment vertical="center" wrapText="1"/>
    </xf>
    <xf numFmtId="0" fontId="11" fillId="7" borderId="0" xfId="0" applyFont="1" applyFill="1" applyAlignment="1">
      <alignment horizontal="center" vertical="center"/>
    </xf>
    <xf numFmtId="164" fontId="12" fillId="4" borderId="6" xfId="17" applyFont="1" applyFill="1" applyBorder="1" applyAlignment="1">
      <alignment horizontal="center" vertical="center" wrapText="1"/>
    </xf>
    <xf numFmtId="166" fontId="11" fillId="13" borderId="4" xfId="0" applyNumberFormat="1" applyFont="1" applyFill="1" applyBorder="1" applyAlignment="1">
      <alignment vertical="center" wrapText="1"/>
    </xf>
    <xf numFmtId="0" fontId="11" fillId="13" borderId="0" xfId="0" applyFont="1" applyFill="1" applyAlignment="1">
      <alignment vertical="center"/>
    </xf>
    <xf numFmtId="166" fontId="11" fillId="15" borderId="4" xfId="0" applyNumberFormat="1" applyFont="1" applyFill="1" applyBorder="1" applyAlignment="1">
      <alignment vertical="center" wrapText="1"/>
    </xf>
    <xf numFmtId="0" fontId="11" fillId="15" borderId="0" xfId="0" applyFont="1" applyFill="1" applyAlignment="1">
      <alignment vertical="center"/>
    </xf>
    <xf numFmtId="2" fontId="14" fillId="2" borderId="10" xfId="23" applyNumberFormat="1" applyFont="1" applyFill="1" applyBorder="1" applyAlignment="1">
      <alignment horizontal="right" vertical="center" wrapText="1" shrinkToFit="1"/>
    </xf>
    <xf numFmtId="170" fontId="11" fillId="15" borderId="4" xfId="0" applyNumberFormat="1" applyFont="1" applyFill="1" applyBorder="1" applyAlignment="1">
      <alignment horizontal="center" vertical="center" wrapText="1"/>
    </xf>
    <xf numFmtId="170" fontId="11" fillId="13" borderId="4" xfId="0" applyNumberFormat="1" applyFont="1" applyFill="1" applyBorder="1" applyAlignment="1">
      <alignment horizontal="center" vertical="center" wrapText="1"/>
    </xf>
    <xf numFmtId="170" fontId="11" fillId="16" borderId="4" xfId="0" applyNumberFormat="1" applyFont="1" applyFill="1" applyBorder="1" applyAlignment="1">
      <alignment horizontal="center" vertical="center" wrapText="1"/>
    </xf>
    <xf numFmtId="0" fontId="11" fillId="16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19" fillId="0" borderId="0" xfId="0" applyFont="1"/>
    <xf numFmtId="0" fontId="18" fillId="14" borderId="6" xfId="0" applyFont="1" applyFill="1" applyBorder="1" applyAlignment="1">
      <alignment horizontal="left" vertical="center"/>
    </xf>
    <xf numFmtId="0" fontId="13" fillId="14" borderId="4" xfId="0" applyFont="1" applyFill="1" applyBorder="1" applyAlignment="1">
      <alignment vertical="center"/>
    </xf>
    <xf numFmtId="4" fontId="13" fillId="14" borderId="4" xfId="0" applyNumberFormat="1" applyFont="1" applyFill="1" applyBorder="1" applyAlignment="1">
      <alignment horizontal="right" vertical="center"/>
    </xf>
    <xf numFmtId="2" fontId="13" fillId="14" borderId="4" xfId="0" applyNumberFormat="1" applyFont="1" applyFill="1" applyBorder="1" applyAlignment="1">
      <alignment horizontal="right" vertical="center"/>
    </xf>
    <xf numFmtId="168" fontId="13" fillId="14" borderId="4" xfId="8" applyNumberFormat="1" applyFont="1" applyFill="1" applyBorder="1" applyAlignment="1">
      <alignment horizontal="center" vertical="center"/>
    </xf>
    <xf numFmtId="166" fontId="13" fillId="14" borderId="4" xfId="0" applyNumberFormat="1" applyFont="1" applyFill="1" applyBorder="1" applyAlignment="1">
      <alignment vertical="center"/>
    </xf>
    <xf numFmtId="0" fontId="13" fillId="14" borderId="4" xfId="0" applyFont="1" applyFill="1" applyBorder="1" applyAlignment="1">
      <alignment horizontal="center" vertical="center"/>
    </xf>
    <xf numFmtId="166" fontId="13" fillId="14" borderId="5" xfId="0" applyNumberFormat="1" applyFont="1" applyFill="1" applyBorder="1" applyAlignment="1">
      <alignment vertical="center"/>
    </xf>
    <xf numFmtId="0" fontId="11" fillId="17" borderId="14" xfId="6" applyFont="1" applyFill="1" applyBorder="1" applyAlignment="1">
      <alignment horizontal="left" vertical="center"/>
    </xf>
    <xf numFmtId="167" fontId="12" fillId="17" borderId="0" xfId="17" applyNumberFormat="1" applyFont="1" applyFill="1" applyBorder="1" applyAlignment="1">
      <alignment horizontal="center"/>
    </xf>
    <xf numFmtId="164" fontId="12" fillId="17" borderId="0" xfId="17" applyFont="1" applyFill="1" applyBorder="1" applyAlignment="1">
      <alignment horizontal="center"/>
    </xf>
    <xf numFmtId="0" fontId="12" fillId="17" borderId="0" xfId="6" applyFont="1" applyFill="1" applyAlignment="1">
      <alignment horizontal="center"/>
    </xf>
    <xf numFmtId="169" fontId="12" fillId="17" borderId="0" xfId="17" applyNumberFormat="1" applyFont="1" applyFill="1" applyBorder="1" applyAlignment="1">
      <alignment horizontal="center"/>
    </xf>
    <xf numFmtId="164" fontId="12" fillId="17" borderId="21" xfId="17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" fontId="14" fillId="2" borderId="23" xfId="0" applyNumberFormat="1" applyFont="1" applyFill="1" applyBorder="1" applyAlignment="1">
      <alignment vertical="center"/>
    </xf>
    <xf numFmtId="4" fontId="14" fillId="2" borderId="23" xfId="0" applyNumberFormat="1" applyFont="1" applyFill="1" applyBorder="1"/>
    <xf numFmtId="4" fontId="14" fillId="2" borderId="23" xfId="8" applyNumberFormat="1" applyFont="1" applyFill="1" applyBorder="1" applyAlignment="1">
      <alignment horizontal="center" vertical="center"/>
    </xf>
    <xf numFmtId="4" fontId="14" fillId="0" borderId="23" xfId="0" applyNumberFormat="1" applyFont="1" applyBorder="1" applyAlignment="1">
      <alignment vertical="center"/>
    </xf>
    <xf numFmtId="4" fontId="14" fillId="2" borderId="23" xfId="0" applyNumberFormat="1" applyFont="1" applyFill="1" applyBorder="1" applyAlignment="1">
      <alignment horizontal="center" vertical="center"/>
    </xf>
    <xf numFmtId="4" fontId="14" fillId="2" borderId="24" xfId="0" applyNumberFormat="1" applyFont="1" applyFill="1" applyBorder="1" applyAlignment="1">
      <alignment vertical="center"/>
    </xf>
    <xf numFmtId="0" fontId="14" fillId="2" borderId="25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vertical="center"/>
    </xf>
    <xf numFmtId="4" fontId="14" fillId="2" borderId="0" xfId="0" applyNumberFormat="1" applyFont="1" applyFill="1"/>
    <xf numFmtId="4" fontId="14" fillId="2" borderId="0" xfId="8" applyNumberFormat="1" applyFont="1" applyFill="1" applyBorder="1" applyAlignment="1">
      <alignment horizontal="center"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4" fontId="14" fillId="2" borderId="26" xfId="0" applyNumberFormat="1" applyFont="1" applyFill="1" applyBorder="1" applyAlignment="1">
      <alignment vertical="center"/>
    </xf>
    <xf numFmtId="0" fontId="14" fillId="2" borderId="27" xfId="0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4" fontId="14" fillId="2" borderId="16" xfId="0" applyNumberFormat="1" applyFont="1" applyFill="1" applyBorder="1" applyAlignment="1">
      <alignment vertical="center"/>
    </xf>
    <xf numFmtId="4" fontId="14" fillId="2" borderId="16" xfId="0" applyNumberFormat="1" applyFont="1" applyFill="1" applyBorder="1"/>
    <xf numFmtId="4" fontId="14" fillId="2" borderId="16" xfId="8" applyNumberFormat="1" applyFont="1" applyFill="1" applyBorder="1" applyAlignment="1">
      <alignment horizontal="center" vertical="center"/>
    </xf>
    <xf numFmtId="4" fontId="14" fillId="0" borderId="16" xfId="0" applyNumberFormat="1" applyFont="1" applyBorder="1" applyAlignment="1">
      <alignment vertical="center"/>
    </xf>
    <xf numFmtId="4" fontId="14" fillId="2" borderId="16" xfId="0" applyNumberFormat="1" applyFont="1" applyFill="1" applyBorder="1" applyAlignment="1">
      <alignment horizontal="center" vertical="center"/>
    </xf>
    <xf numFmtId="4" fontId="14" fillId="2" borderId="28" xfId="0" applyNumberFormat="1" applyFont="1" applyFill="1" applyBorder="1" applyAlignment="1">
      <alignment vertical="center"/>
    </xf>
    <xf numFmtId="0" fontId="11" fillId="2" borderId="29" xfId="0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4" fontId="14" fillId="2" borderId="30" xfId="0" applyNumberFormat="1" applyFont="1" applyFill="1" applyBorder="1" applyAlignment="1">
      <alignment vertical="center"/>
    </xf>
    <xf numFmtId="4" fontId="14" fillId="2" borderId="30" xfId="0" applyNumberFormat="1" applyFont="1" applyFill="1" applyBorder="1"/>
    <xf numFmtId="4" fontId="14" fillId="2" borderId="30" xfId="8" applyNumberFormat="1" applyFont="1" applyFill="1" applyBorder="1" applyAlignment="1">
      <alignment horizontal="center" vertical="center"/>
    </xf>
    <xf numFmtId="4" fontId="14" fillId="0" borderId="30" xfId="0" applyNumberFormat="1" applyFont="1" applyBorder="1" applyAlignment="1">
      <alignment vertical="center"/>
    </xf>
    <xf numFmtId="4" fontId="11" fillId="2" borderId="30" xfId="0" applyNumberFormat="1" applyFont="1" applyFill="1" applyBorder="1" applyAlignment="1">
      <alignment horizontal="center" vertical="center"/>
    </xf>
    <xf numFmtId="4" fontId="11" fillId="2" borderId="31" xfId="0" applyNumberFormat="1" applyFont="1" applyFill="1" applyBorder="1" applyAlignment="1">
      <alignment vertical="center"/>
    </xf>
    <xf numFmtId="0" fontId="11" fillId="2" borderId="2" xfId="6" applyFont="1" applyFill="1" applyBorder="1" applyAlignment="1">
      <alignment horizontal="center" vertical="center"/>
    </xf>
    <xf numFmtId="0" fontId="11" fillId="2" borderId="10" xfId="6" applyFont="1" applyFill="1" applyBorder="1" applyAlignment="1">
      <alignment horizontal="center" vertical="center"/>
    </xf>
    <xf numFmtId="164" fontId="11" fillId="2" borderId="2" xfId="17" applyFont="1" applyFill="1" applyBorder="1" applyAlignment="1">
      <alignment horizontal="center" vertical="center" wrapText="1"/>
    </xf>
    <xf numFmtId="164" fontId="11" fillId="2" borderId="10" xfId="17" applyFont="1" applyFill="1" applyBorder="1" applyAlignment="1">
      <alignment horizontal="center" vertical="center" wrapText="1"/>
    </xf>
    <xf numFmtId="0" fontId="11" fillId="2" borderId="3" xfId="6" applyFont="1" applyFill="1" applyBorder="1" applyAlignment="1">
      <alignment horizontal="center" vertical="center"/>
    </xf>
    <xf numFmtId="164" fontId="11" fillId="2" borderId="3" xfId="17" applyFont="1" applyFill="1" applyBorder="1" applyAlignment="1">
      <alignment horizontal="center" vertical="center" wrapText="1"/>
    </xf>
    <xf numFmtId="0" fontId="11" fillId="2" borderId="7" xfId="6" applyFont="1" applyFill="1" applyBorder="1" applyAlignment="1">
      <alignment horizontal="center" vertical="center"/>
    </xf>
    <xf numFmtId="164" fontId="11" fillId="2" borderId="7" xfId="17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>
      <alignment horizontal="center" vertical="center" wrapText="1"/>
    </xf>
    <xf numFmtId="0" fontId="11" fillId="0" borderId="10" xfId="6" applyFont="1" applyBorder="1" applyAlignment="1">
      <alignment horizontal="center" vertical="center"/>
    </xf>
    <xf numFmtId="0" fontId="11" fillId="0" borderId="7" xfId="6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 wrapText="1"/>
    </xf>
    <xf numFmtId="0" fontId="11" fillId="2" borderId="2" xfId="23" applyNumberFormat="1" applyFont="1" applyFill="1" applyBorder="1" applyAlignment="1">
      <alignment horizontal="center" vertical="center" wrapText="1"/>
    </xf>
    <xf numFmtId="0" fontId="11" fillId="2" borderId="7" xfId="23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3" xfId="23" applyNumberFormat="1" applyFont="1" applyFill="1" applyBorder="1" applyAlignment="1">
      <alignment horizontal="center" vertical="center" wrapText="1"/>
    </xf>
    <xf numFmtId="0" fontId="11" fillId="2" borderId="10" xfId="23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2" xfId="21" applyNumberFormat="1" applyFont="1" applyFill="1" applyBorder="1" applyAlignment="1">
      <alignment horizontal="center" vertical="center" wrapText="1"/>
    </xf>
    <xf numFmtId="0" fontId="11" fillId="2" borderId="7" xfId="21" applyNumberFormat="1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12" fillId="2" borderId="2" xfId="23" applyNumberFormat="1" applyFont="1" applyFill="1" applyBorder="1" applyAlignment="1">
      <alignment horizontal="center" vertical="center" wrapText="1"/>
    </xf>
    <xf numFmtId="0" fontId="12" fillId="2" borderId="7" xfId="23" applyNumberFormat="1" applyFont="1" applyFill="1" applyBorder="1" applyAlignment="1">
      <alignment horizontal="center" vertical="center" wrapText="1"/>
    </xf>
    <xf numFmtId="0" fontId="12" fillId="2" borderId="13" xfId="23" applyNumberFormat="1" applyFont="1" applyFill="1" applyBorder="1" applyAlignment="1">
      <alignment horizontal="center" vertical="center" wrapText="1"/>
    </xf>
    <xf numFmtId="0" fontId="12" fillId="2" borderId="9" xfId="23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18" borderId="2" xfId="0" applyFont="1" applyFill="1" applyBorder="1" applyAlignment="1">
      <alignment horizontal="center" vertical="center" wrapText="1"/>
    </xf>
    <xf numFmtId="0" fontId="11" fillId="18" borderId="7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 wrapText="1"/>
    </xf>
    <xf numFmtId="0" fontId="11" fillId="16" borderId="7" xfId="0" applyFont="1" applyFill="1" applyBorder="1" applyAlignment="1">
      <alignment horizontal="center" vertical="center" wrapText="1"/>
    </xf>
    <xf numFmtId="0" fontId="11" fillId="19" borderId="2" xfId="0" applyFont="1" applyFill="1" applyBorder="1" applyAlignment="1">
      <alignment horizontal="center" vertical="center" wrapText="1"/>
    </xf>
    <xf numFmtId="0" fontId="11" fillId="19" borderId="7" xfId="0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center" vertical="center" wrapText="1"/>
    </xf>
    <xf numFmtId="0" fontId="11" fillId="14" borderId="7" xfId="0" applyFont="1" applyFill="1" applyBorder="1" applyAlignment="1">
      <alignment horizontal="center" vertical="center" wrapText="1"/>
    </xf>
    <xf numFmtId="0" fontId="11" fillId="0" borderId="14" xfId="23" applyNumberFormat="1" applyFont="1" applyFill="1" applyBorder="1" applyAlignment="1">
      <alignment horizontal="center" vertical="center" wrapText="1"/>
    </xf>
    <xf numFmtId="0" fontId="11" fillId="2" borderId="3" xfId="17" applyNumberFormat="1" applyFont="1" applyFill="1" applyBorder="1" applyAlignment="1">
      <alignment horizontal="center" vertical="center" wrapText="1"/>
    </xf>
    <xf numFmtId="0" fontId="12" fillId="2" borderId="2" xfId="21" applyNumberFormat="1" applyFont="1" applyFill="1" applyBorder="1" applyAlignment="1">
      <alignment horizontal="center" vertical="center" wrapText="1"/>
    </xf>
    <xf numFmtId="0" fontId="12" fillId="2" borderId="7" xfId="21" applyNumberFormat="1" applyFont="1" applyFill="1" applyBorder="1" applyAlignment="1">
      <alignment horizontal="center" vertical="center" wrapText="1"/>
    </xf>
    <xf numFmtId="0" fontId="11" fillId="2" borderId="13" xfId="17" applyNumberFormat="1" applyFont="1" applyFill="1" applyBorder="1" applyAlignment="1">
      <alignment horizontal="center" vertical="center" wrapText="1"/>
    </xf>
    <xf numFmtId="0" fontId="11" fillId="2" borderId="9" xfId="17" applyNumberFormat="1" applyFont="1" applyFill="1" applyBorder="1" applyAlignment="1">
      <alignment horizontal="center" vertical="center" wrapText="1"/>
    </xf>
    <xf numFmtId="166" fontId="11" fillId="0" borderId="6" xfId="0" applyNumberFormat="1" applyFont="1" applyBorder="1" applyAlignment="1">
      <alignment horizontal="center" vertical="center" wrapText="1"/>
    </xf>
    <xf numFmtId="0" fontId="11" fillId="2" borderId="2" xfId="17" applyNumberFormat="1" applyFont="1" applyFill="1" applyBorder="1" applyAlignment="1">
      <alignment horizontal="center" vertical="center" wrapText="1"/>
    </xf>
    <xf numFmtId="0" fontId="11" fillId="2" borderId="7" xfId="17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 wrapText="1"/>
    </xf>
    <xf numFmtId="166" fontId="11" fillId="2" borderId="6" xfId="0" applyNumberFormat="1" applyFont="1" applyFill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0" fontId="11" fillId="2" borderId="12" xfId="17" applyNumberFormat="1" applyFont="1" applyFill="1" applyBorder="1" applyAlignment="1">
      <alignment horizontal="center" vertical="center" wrapText="1"/>
    </xf>
    <xf numFmtId="0" fontId="11" fillId="2" borderId="11" xfId="17" applyNumberFormat="1" applyFont="1" applyFill="1" applyBorder="1" applyAlignment="1">
      <alignment horizontal="center" vertical="center" wrapText="1"/>
    </xf>
    <xf numFmtId="1" fontId="8" fillId="4" borderId="13" xfId="0" applyNumberFormat="1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>
      <alignment horizontal="center" vertical="center" wrapText="1"/>
    </xf>
    <xf numFmtId="0" fontId="11" fillId="2" borderId="13" xfId="6" applyFont="1" applyFill="1" applyBorder="1" applyAlignment="1">
      <alignment horizontal="center" vertical="center"/>
    </xf>
    <xf numFmtId="0" fontId="11" fillId="2" borderId="14" xfId="6" applyFont="1" applyFill="1" applyBorder="1" applyAlignment="1">
      <alignment horizontal="center" vertical="center"/>
    </xf>
    <xf numFmtId="1" fontId="8" fillId="6" borderId="2" xfId="0" applyNumberFormat="1" applyFont="1" applyFill="1" applyBorder="1" applyAlignment="1">
      <alignment horizontal="center" vertical="center" wrapText="1"/>
    </xf>
    <xf numFmtId="1" fontId="8" fillId="6" borderId="7" xfId="0" applyNumberFormat="1" applyFont="1" applyFill="1" applyBorder="1" applyAlignment="1">
      <alignment horizontal="center" vertical="center" wrapText="1"/>
    </xf>
    <xf numFmtId="164" fontId="11" fillId="6" borderId="0" xfId="17" applyFont="1" applyFill="1" applyBorder="1" applyAlignment="1">
      <alignment horizontal="center" vertical="center" wrapText="1"/>
    </xf>
    <xf numFmtId="0" fontId="11" fillId="0" borderId="3" xfId="6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 wrapText="1"/>
    </xf>
    <xf numFmtId="1" fontId="8" fillId="6" borderId="6" xfId="0" applyNumberFormat="1" applyFont="1" applyFill="1" applyBorder="1" applyAlignment="1">
      <alignment horizontal="center" vertical="center" wrapText="1"/>
    </xf>
    <xf numFmtId="0" fontId="11" fillId="0" borderId="2" xfId="6" applyFont="1" applyBorder="1" applyAlignment="1">
      <alignment horizontal="center" vertical="center"/>
    </xf>
    <xf numFmtId="164" fontId="11" fillId="0" borderId="2" xfId="17" applyFont="1" applyFill="1" applyBorder="1" applyAlignment="1" applyProtection="1">
      <alignment horizontal="center" vertical="center" wrapText="1"/>
    </xf>
    <xf numFmtId="164" fontId="11" fillId="0" borderId="7" xfId="17" applyFont="1" applyFill="1" applyBorder="1" applyAlignment="1" applyProtection="1">
      <alignment horizontal="center" vertical="center" wrapText="1"/>
    </xf>
    <xf numFmtId="0" fontId="11" fillId="2" borderId="13" xfId="23" applyNumberFormat="1" applyFont="1" applyFill="1" applyBorder="1" applyAlignment="1">
      <alignment horizontal="center" vertical="center" wrapText="1"/>
    </xf>
    <xf numFmtId="0" fontId="11" fillId="2" borderId="9" xfId="23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11" fillId="20" borderId="14" xfId="6" applyFont="1" applyFill="1" applyBorder="1" applyAlignment="1">
      <alignment horizontal="center" vertical="center"/>
    </xf>
    <xf numFmtId="167" fontId="11" fillId="20" borderId="7" xfId="17" applyNumberFormat="1" applyFont="1" applyFill="1" applyBorder="1" applyAlignment="1">
      <alignment horizontal="center" vertical="center"/>
    </xf>
    <xf numFmtId="164" fontId="11" fillId="20" borderId="7" xfId="17" applyFont="1" applyFill="1" applyBorder="1" applyAlignment="1">
      <alignment horizontal="center" vertical="center"/>
    </xf>
    <xf numFmtId="0" fontId="11" fillId="20" borderId="7" xfId="6" applyFont="1" applyFill="1" applyBorder="1" applyAlignment="1">
      <alignment horizontal="center" vertical="center"/>
    </xf>
    <xf numFmtId="169" fontId="11" fillId="20" borderId="7" xfId="17" applyNumberFormat="1" applyFont="1" applyFill="1" applyBorder="1" applyAlignment="1">
      <alignment horizontal="center" vertical="center"/>
    </xf>
    <xf numFmtId="0" fontId="11" fillId="20" borderId="7" xfId="6" applyFont="1" applyFill="1" applyBorder="1" applyAlignment="1">
      <alignment horizontal="center" vertical="center"/>
    </xf>
    <xf numFmtId="1" fontId="8" fillId="20" borderId="2" xfId="0" applyNumberFormat="1" applyFont="1" applyFill="1" applyBorder="1" applyAlignment="1">
      <alignment horizontal="center" vertical="center" wrapText="1"/>
    </xf>
    <xf numFmtId="167" fontId="11" fillId="20" borderId="3" xfId="17" applyNumberFormat="1" applyFont="1" applyFill="1" applyBorder="1" applyAlignment="1">
      <alignment horizontal="center"/>
    </xf>
    <xf numFmtId="164" fontId="11" fillId="20" borderId="3" xfId="17" applyFont="1" applyFill="1" applyBorder="1" applyAlignment="1">
      <alignment horizontal="center"/>
    </xf>
    <xf numFmtId="0" fontId="11" fillId="20" borderId="3" xfId="6" applyFont="1" applyFill="1" applyBorder="1" applyAlignment="1">
      <alignment horizontal="center"/>
    </xf>
    <xf numFmtId="0" fontId="11" fillId="20" borderId="3" xfId="6" applyFont="1" applyFill="1" applyBorder="1" applyAlignment="1">
      <alignment horizontal="center" vertical="center"/>
    </xf>
    <xf numFmtId="1" fontId="8" fillId="20" borderId="7" xfId="0" applyNumberFormat="1" applyFont="1" applyFill="1" applyBorder="1" applyAlignment="1">
      <alignment horizontal="center" vertical="center" wrapText="1"/>
    </xf>
    <xf numFmtId="0" fontId="11" fillId="20" borderId="6" xfId="6" applyFont="1" applyFill="1" applyBorder="1" applyAlignment="1">
      <alignment horizontal="left" vertical="center"/>
    </xf>
    <xf numFmtId="167" fontId="13" fillId="20" borderId="4" xfId="17" applyNumberFormat="1" applyFont="1" applyFill="1" applyBorder="1" applyAlignment="1">
      <alignment horizontal="center" vertical="center"/>
    </xf>
    <xf numFmtId="164" fontId="13" fillId="20" borderId="4" xfId="17" applyFont="1" applyFill="1" applyBorder="1" applyAlignment="1">
      <alignment horizontal="center" vertical="center"/>
    </xf>
    <xf numFmtId="0" fontId="13" fillId="20" borderId="4" xfId="6" applyFont="1" applyFill="1" applyBorder="1" applyAlignment="1">
      <alignment horizontal="center" vertical="center"/>
    </xf>
    <xf numFmtId="169" fontId="13" fillId="20" borderId="4" xfId="17" applyNumberFormat="1" applyFont="1" applyFill="1" applyBorder="1" applyAlignment="1">
      <alignment horizontal="center" vertical="center"/>
    </xf>
    <xf numFmtId="0" fontId="0" fillId="20" borderId="4" xfId="0" applyFill="1" applyBorder="1"/>
    <xf numFmtId="0" fontId="0" fillId="20" borderId="5" xfId="0" applyFill="1" applyBorder="1"/>
    <xf numFmtId="0" fontId="14" fillId="20" borderId="7" xfId="6" applyFont="1" applyFill="1" applyBorder="1" applyAlignment="1">
      <alignment horizontal="left" vertical="center"/>
    </xf>
    <xf numFmtId="166" fontId="14" fillId="20" borderId="3" xfId="17" applyNumberFormat="1" applyFont="1" applyFill="1" applyBorder="1" applyAlignment="1">
      <alignment horizontal="right" vertical="center"/>
    </xf>
    <xf numFmtId="168" fontId="14" fillId="20" borderId="3" xfId="11" applyNumberFormat="1" applyFont="1" applyFill="1" applyBorder="1" applyAlignment="1">
      <alignment horizontal="center" vertical="center"/>
    </xf>
    <xf numFmtId="4" fontId="14" fillId="20" borderId="2" xfId="0" applyNumberFormat="1" applyFont="1" applyFill="1" applyBorder="1" applyAlignment="1">
      <alignment horizontal="right" vertical="center"/>
    </xf>
    <xf numFmtId="166" fontId="14" fillId="20" borderId="3" xfId="6" applyNumberFormat="1" applyFont="1" applyFill="1" applyBorder="1" applyAlignment="1">
      <alignment horizontal="right" vertical="center"/>
    </xf>
    <xf numFmtId="166" fontId="14" fillId="20" borderId="3" xfId="0" applyNumberFormat="1" applyFont="1" applyFill="1" applyBorder="1" applyAlignment="1">
      <alignment horizontal="center" vertical="center"/>
    </xf>
    <xf numFmtId="166" fontId="14" fillId="20" borderId="3" xfId="0" applyNumberFormat="1" applyFont="1" applyFill="1" applyBorder="1" applyAlignment="1">
      <alignment horizontal="right"/>
    </xf>
    <xf numFmtId="4" fontId="14" fillId="20" borderId="3" xfId="0" applyNumberFormat="1" applyFont="1" applyFill="1" applyBorder="1" applyAlignment="1">
      <alignment horizontal="right" vertical="center"/>
    </xf>
    <xf numFmtId="0" fontId="11" fillId="20" borderId="6" xfId="0" applyFont="1" applyFill="1" applyBorder="1" applyAlignment="1">
      <alignment vertical="center"/>
    </xf>
    <xf numFmtId="0" fontId="14" fillId="20" borderId="4" xfId="0" applyFont="1" applyFill="1" applyBorder="1" applyAlignment="1">
      <alignment vertical="center"/>
    </xf>
    <xf numFmtId="4" fontId="11" fillId="20" borderId="4" xfId="0" applyNumberFormat="1" applyFont="1" applyFill="1" applyBorder="1" applyAlignment="1">
      <alignment vertical="center"/>
    </xf>
    <xf numFmtId="0" fontId="11" fillId="20" borderId="4" xfId="0" applyFont="1" applyFill="1" applyBorder="1" applyAlignment="1">
      <alignment horizontal="center" vertical="center"/>
    </xf>
    <xf numFmtId="4" fontId="11" fillId="20" borderId="5" xfId="0" applyNumberFormat="1" applyFont="1" applyFill="1" applyBorder="1" applyAlignment="1">
      <alignment vertical="center"/>
    </xf>
  </cellXfs>
  <cellStyles count="24">
    <cellStyle name="Normal" xfId="0" builtinId="0"/>
    <cellStyle name="Normal 10" xfId="1" xr:uid="{00000000-0005-0000-0000-000001000000}"/>
    <cellStyle name="Normal 10 22" xfId="2" xr:uid="{00000000-0005-0000-0000-000002000000}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7 5" xfId="6" xr:uid="{00000000-0005-0000-0000-000006000000}"/>
    <cellStyle name="Porcentagem 2" xfId="7" xr:uid="{00000000-0005-0000-0000-000007000000}"/>
    <cellStyle name="Separador de milhares 2" xfId="8" xr:uid="{00000000-0005-0000-0000-000008000000}"/>
    <cellStyle name="Separador de milhares 2 2" xfId="9" xr:uid="{00000000-0005-0000-0000-000009000000}"/>
    <cellStyle name="Separador de milhares 3" xfId="10" xr:uid="{00000000-0005-0000-0000-00000A000000}"/>
    <cellStyle name="Separador de milhares 3 2" xfId="11" xr:uid="{00000000-0005-0000-0000-00000B000000}"/>
    <cellStyle name="Separador de milhares 5" xfId="12" xr:uid="{00000000-0005-0000-0000-00000C000000}"/>
    <cellStyle name="Separador de milhares 5 2" xfId="13" xr:uid="{00000000-0005-0000-0000-00000D000000}"/>
    <cellStyle name="Separador de milhares 5 2 2" xfId="14" xr:uid="{00000000-0005-0000-0000-00000E000000}"/>
    <cellStyle name="Separador de milhares 5 3" xfId="15" xr:uid="{00000000-0005-0000-0000-00000F000000}"/>
    <cellStyle name="Vírgula" xfId="23" builtinId="3"/>
    <cellStyle name="Vírgula 2" xfId="16" xr:uid="{00000000-0005-0000-0000-000011000000}"/>
    <cellStyle name="Vírgula 2 2" xfId="17" xr:uid="{00000000-0005-0000-0000-000012000000}"/>
    <cellStyle name="Vírgula 3" xfId="18" xr:uid="{00000000-0005-0000-0000-000013000000}"/>
    <cellStyle name="Vírgula 3 2" xfId="19" xr:uid="{00000000-0005-0000-0000-000014000000}"/>
    <cellStyle name="Vírgula 4" xfId="20" xr:uid="{00000000-0005-0000-0000-000015000000}"/>
    <cellStyle name="Vírgula 5" xfId="21" xr:uid="{00000000-0005-0000-0000-000016000000}"/>
    <cellStyle name="Vírgula 6" xfId="22" xr:uid="{00000000-0005-0000-0000-000017000000}"/>
  </cellStyles>
  <dxfs count="0"/>
  <tableStyles count="0" defaultTableStyle="TableStyleMedium9" defaultPivotStyle="PivotStyleLight16"/>
  <colors>
    <mruColors>
      <color rgb="FFFFCC00"/>
      <color rgb="FF99FF99"/>
      <color rgb="FFFFFF99"/>
      <color rgb="FFFFFF66"/>
      <color rgb="FF009900"/>
      <color rgb="FF33CC33"/>
      <color rgb="FF009999"/>
      <color rgb="FF00CC66"/>
      <color rgb="FF339966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3615-BC2B-4A37-8469-0AACFB0908DB}">
  <dimension ref="B3:N22"/>
  <sheetViews>
    <sheetView workbookViewId="0">
      <selection activeCell="N22" sqref="N22"/>
    </sheetView>
  </sheetViews>
  <sheetFormatPr defaultRowHeight="13.2" x14ac:dyDescent="0.25"/>
  <cols>
    <col min="3" max="4" width="12.77734375" customWidth="1"/>
    <col min="5" max="5" width="14.77734375" customWidth="1"/>
    <col min="6" max="8" width="12.77734375" customWidth="1"/>
  </cols>
  <sheetData>
    <row r="3" spans="2:14" ht="14.4" x14ac:dyDescent="0.25">
      <c r="B3" s="66" t="s">
        <v>872</v>
      </c>
      <c r="C3" s="774" t="s">
        <v>873</v>
      </c>
      <c r="D3" s="775"/>
      <c r="E3" s="775"/>
    </row>
    <row r="4" spans="2:14" ht="14.4" x14ac:dyDescent="0.25">
      <c r="B4" s="66" t="s">
        <v>874</v>
      </c>
      <c r="C4" s="774" t="s">
        <v>875</v>
      </c>
      <c r="D4" s="775"/>
      <c r="E4" s="775"/>
    </row>
    <row r="5" spans="2:14" ht="14.4" x14ac:dyDescent="0.25">
      <c r="C5" s="70" t="s">
        <v>876</v>
      </c>
      <c r="D5" s="71"/>
      <c r="E5" s="69"/>
      <c r="F5" s="72"/>
      <c r="G5" s="72"/>
      <c r="H5" s="72"/>
      <c r="I5" s="72"/>
      <c r="J5" s="72"/>
      <c r="K5" s="72"/>
    </row>
    <row r="6" spans="2:14" ht="14.4" x14ac:dyDescent="0.25">
      <c r="C6" s="70"/>
      <c r="D6" s="71"/>
      <c r="E6" s="69"/>
      <c r="F6" s="72"/>
      <c r="G6" s="72"/>
      <c r="H6" s="72"/>
      <c r="I6" s="72"/>
      <c r="J6" s="72"/>
      <c r="K6" s="72"/>
    </row>
    <row r="7" spans="2:14" ht="14.4" x14ac:dyDescent="0.25">
      <c r="C7" s="70"/>
      <c r="D7" s="71"/>
      <c r="E7" s="69"/>
      <c r="F7" s="72"/>
      <c r="G7" s="72"/>
      <c r="H7" s="72"/>
      <c r="I7" s="72"/>
      <c r="J7" s="72"/>
      <c r="K7" s="72"/>
    </row>
    <row r="8" spans="2:14" ht="15.6" x14ac:dyDescent="0.25">
      <c r="C8" s="2" t="s">
        <v>751</v>
      </c>
      <c r="D8" s="3"/>
      <c r="E8" s="4"/>
      <c r="F8" s="4"/>
      <c r="G8" s="4"/>
      <c r="H8" s="3"/>
      <c r="I8" s="5"/>
      <c r="J8" s="6"/>
      <c r="K8" s="6"/>
      <c r="L8" s="5"/>
      <c r="M8" s="5"/>
      <c r="N8" s="7"/>
    </row>
    <row r="9" spans="2:14" ht="14.4" x14ac:dyDescent="0.25">
      <c r="C9" s="822" t="s">
        <v>1</v>
      </c>
      <c r="D9" s="55" t="s">
        <v>0</v>
      </c>
      <c r="E9" s="52" t="s">
        <v>12</v>
      </c>
      <c r="F9" s="52" t="s">
        <v>4</v>
      </c>
      <c r="G9" s="52" t="s">
        <v>2</v>
      </c>
      <c r="H9" s="52" t="s">
        <v>6</v>
      </c>
      <c r="I9" s="148" t="s">
        <v>5</v>
      </c>
      <c r="J9" s="56" t="s">
        <v>13</v>
      </c>
      <c r="K9" s="56" t="s">
        <v>877</v>
      </c>
      <c r="L9" s="148" t="s">
        <v>14</v>
      </c>
      <c r="M9" s="822" t="s">
        <v>7</v>
      </c>
      <c r="N9" s="824" t="s">
        <v>8</v>
      </c>
    </row>
    <row r="10" spans="2:14" ht="14.4" x14ac:dyDescent="0.3">
      <c r="C10" s="823"/>
      <c r="D10" s="80" t="s">
        <v>9</v>
      </c>
      <c r="E10" s="81" t="s">
        <v>10</v>
      </c>
      <c r="F10" s="81" t="s">
        <v>10</v>
      </c>
      <c r="G10" s="81" t="s">
        <v>10</v>
      </c>
      <c r="H10" s="80" t="s">
        <v>9</v>
      </c>
      <c r="I10" s="82" t="s">
        <v>11</v>
      </c>
      <c r="J10" s="113" t="s">
        <v>11</v>
      </c>
      <c r="K10" s="113" t="s">
        <v>749</v>
      </c>
      <c r="L10" s="82" t="s">
        <v>15</v>
      </c>
      <c r="M10" s="823"/>
      <c r="N10" s="825"/>
    </row>
    <row r="11" spans="2:14" ht="15.6" x14ac:dyDescent="0.25">
      <c r="B11" s="69"/>
      <c r="C11" s="776" t="s">
        <v>878</v>
      </c>
      <c r="D11" s="777"/>
      <c r="E11" s="778"/>
      <c r="F11" s="777"/>
      <c r="G11" s="779"/>
      <c r="H11" s="780"/>
      <c r="I11" s="781"/>
      <c r="J11" s="781"/>
      <c r="K11" s="781"/>
      <c r="L11" s="781"/>
      <c r="M11" s="782"/>
      <c r="N11" s="783"/>
    </row>
    <row r="12" spans="2:14" ht="15" thickBot="1" x14ac:dyDescent="0.35">
      <c r="C12" s="784" t="s">
        <v>879</v>
      </c>
      <c r="D12" s="785"/>
      <c r="E12" s="786"/>
      <c r="F12" s="786"/>
      <c r="G12" s="786"/>
      <c r="H12" s="785"/>
      <c r="I12" s="787"/>
      <c r="J12" s="788"/>
      <c r="K12" s="788"/>
      <c r="L12" s="787"/>
      <c r="M12" s="787"/>
      <c r="N12" s="789"/>
    </row>
    <row r="13" spans="2:14" ht="14.4" x14ac:dyDescent="0.3">
      <c r="C13" s="790"/>
      <c r="D13" s="791"/>
      <c r="E13" s="792">
        <v>24.09</v>
      </c>
      <c r="F13" s="793"/>
      <c r="G13" s="792"/>
      <c r="H13" s="794">
        <v>1</v>
      </c>
      <c r="I13" s="792"/>
      <c r="J13" s="795"/>
      <c r="K13" s="795"/>
      <c r="L13" s="792"/>
      <c r="M13" s="796" t="s">
        <v>197</v>
      </c>
      <c r="N13" s="797">
        <f>H13*E13</f>
        <v>24.09</v>
      </c>
    </row>
    <row r="14" spans="2:14" ht="14.4" x14ac:dyDescent="0.3">
      <c r="C14" s="798"/>
      <c r="D14" s="799"/>
      <c r="E14" s="800">
        <v>3.34</v>
      </c>
      <c r="F14" s="801"/>
      <c r="G14" s="800"/>
      <c r="H14" s="802">
        <v>1</v>
      </c>
      <c r="I14" s="800"/>
      <c r="J14" s="803"/>
      <c r="K14" s="803"/>
      <c r="L14" s="800"/>
      <c r="M14" s="804" t="s">
        <v>197</v>
      </c>
      <c r="N14" s="805">
        <f t="shared" ref="N14:N20" si="0">H14*E14</f>
        <v>3.34</v>
      </c>
    </row>
    <row r="15" spans="2:14" ht="14.4" x14ac:dyDescent="0.3">
      <c r="C15" s="798"/>
      <c r="D15" s="799"/>
      <c r="E15" s="800">
        <v>7.13</v>
      </c>
      <c r="F15" s="801"/>
      <c r="G15" s="800"/>
      <c r="H15" s="802">
        <v>1</v>
      </c>
      <c r="I15" s="800"/>
      <c r="J15" s="803"/>
      <c r="K15" s="803"/>
      <c r="L15" s="800"/>
      <c r="M15" s="804" t="s">
        <v>197</v>
      </c>
      <c r="N15" s="805">
        <f t="shared" si="0"/>
        <v>7.13</v>
      </c>
    </row>
    <row r="16" spans="2:14" ht="14.4" x14ac:dyDescent="0.3">
      <c r="C16" s="798"/>
      <c r="D16" s="799"/>
      <c r="E16" s="800">
        <v>5</v>
      </c>
      <c r="F16" s="801"/>
      <c r="G16" s="800"/>
      <c r="H16" s="802">
        <v>1</v>
      </c>
      <c r="I16" s="800"/>
      <c r="J16" s="803"/>
      <c r="K16" s="803"/>
      <c r="L16" s="800"/>
      <c r="M16" s="804" t="s">
        <v>197</v>
      </c>
      <c r="N16" s="805">
        <f t="shared" si="0"/>
        <v>5</v>
      </c>
    </row>
    <row r="17" spans="3:14" ht="14.4" x14ac:dyDescent="0.3">
      <c r="C17" s="798"/>
      <c r="D17" s="799"/>
      <c r="E17" s="800">
        <v>15.92</v>
      </c>
      <c r="F17" s="801"/>
      <c r="G17" s="800"/>
      <c r="H17" s="802">
        <v>1</v>
      </c>
      <c r="I17" s="800"/>
      <c r="J17" s="803"/>
      <c r="K17" s="803"/>
      <c r="L17" s="800"/>
      <c r="M17" s="804" t="s">
        <v>197</v>
      </c>
      <c r="N17" s="805">
        <f t="shared" si="0"/>
        <v>15.92</v>
      </c>
    </row>
    <row r="18" spans="3:14" ht="14.4" x14ac:dyDescent="0.3">
      <c r="C18" s="798"/>
      <c r="D18" s="799"/>
      <c r="E18" s="800">
        <v>13.69</v>
      </c>
      <c r="F18" s="801"/>
      <c r="G18" s="800"/>
      <c r="H18" s="802">
        <v>1</v>
      </c>
      <c r="I18" s="800"/>
      <c r="J18" s="803"/>
      <c r="K18" s="803"/>
      <c r="L18" s="800"/>
      <c r="M18" s="804" t="s">
        <v>197</v>
      </c>
      <c r="N18" s="805">
        <f t="shared" si="0"/>
        <v>13.69</v>
      </c>
    </row>
    <row r="19" spans="3:14" ht="14.4" x14ac:dyDescent="0.3">
      <c r="C19" s="798"/>
      <c r="D19" s="799"/>
      <c r="E19" s="800">
        <v>28.49</v>
      </c>
      <c r="F19" s="801"/>
      <c r="G19" s="800"/>
      <c r="H19" s="802">
        <v>1</v>
      </c>
      <c r="I19" s="800"/>
      <c r="J19" s="803"/>
      <c r="K19" s="803"/>
      <c r="L19" s="800"/>
      <c r="M19" s="804" t="s">
        <v>197</v>
      </c>
      <c r="N19" s="805">
        <f t="shared" si="0"/>
        <v>28.49</v>
      </c>
    </row>
    <row r="20" spans="3:14" ht="14.4" x14ac:dyDescent="0.3">
      <c r="C20" s="798"/>
      <c r="D20" s="799"/>
      <c r="E20" s="800">
        <v>2.38</v>
      </c>
      <c r="F20" s="801"/>
      <c r="G20" s="800"/>
      <c r="H20" s="802">
        <v>1</v>
      </c>
      <c r="I20" s="800"/>
      <c r="J20" s="803"/>
      <c r="K20" s="803"/>
      <c r="L20" s="800"/>
      <c r="M20" s="804" t="s">
        <v>197</v>
      </c>
      <c r="N20" s="805">
        <f t="shared" si="0"/>
        <v>2.38</v>
      </c>
    </row>
    <row r="21" spans="3:14" ht="15" thickBot="1" x14ac:dyDescent="0.35">
      <c r="C21" s="806"/>
      <c r="D21" s="807"/>
      <c r="E21" s="808"/>
      <c r="F21" s="809"/>
      <c r="G21" s="808"/>
      <c r="H21" s="810"/>
      <c r="I21" s="808"/>
      <c r="J21" s="811"/>
      <c r="K21" s="811"/>
      <c r="L21" s="808"/>
      <c r="M21" s="812"/>
      <c r="N21" s="813"/>
    </row>
    <row r="22" spans="3:14" ht="15" thickBot="1" x14ac:dyDescent="0.35">
      <c r="C22" s="814" t="s">
        <v>880</v>
      </c>
      <c r="D22" s="815"/>
      <c r="E22" s="816"/>
      <c r="F22" s="817"/>
      <c r="G22" s="816"/>
      <c r="H22" s="818"/>
      <c r="I22" s="816"/>
      <c r="J22" s="819"/>
      <c r="K22" s="819"/>
      <c r="L22" s="816"/>
      <c r="M22" s="820" t="s">
        <v>197</v>
      </c>
      <c r="N22" s="821">
        <f>SUM(N13:N21)</f>
        <v>100.03999999999999</v>
      </c>
    </row>
  </sheetData>
  <mergeCells count="3">
    <mergeCell ref="C9:C10"/>
    <mergeCell ref="M9:M10"/>
    <mergeCell ref="N9:N10"/>
  </mergeCells>
  <dataValidations count="1">
    <dataValidation type="list" allowBlank="1" showInputMessage="1" showErrorMessage="1" sqref="I12 I9:I10" xr:uid="{4C3D7AAF-9D51-412D-9989-1C45253417A3}">
      <formula1>"G,T,E,O"</formula1>
    </dataValidation>
  </dataValidation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61"/>
  <sheetViews>
    <sheetView topLeftCell="B133" workbookViewId="0">
      <selection activeCell="T161" sqref="T161"/>
    </sheetView>
  </sheetViews>
  <sheetFormatPr defaultRowHeight="13.2" x14ac:dyDescent="0.25"/>
  <cols>
    <col min="1" max="1" width="7.77734375" customWidth="1"/>
    <col min="2" max="2" width="43.5546875" customWidth="1"/>
    <col min="3" max="3" width="12.109375" customWidth="1"/>
    <col min="4" max="4" width="13.5546875" customWidth="1"/>
    <col min="6" max="6" width="7.77734375" customWidth="1"/>
    <col min="7" max="7" width="9.88671875" customWidth="1"/>
    <col min="8" max="8" width="7.88671875" customWidth="1"/>
    <col min="9" max="9" width="9.5546875" customWidth="1"/>
    <col min="10" max="10" width="6.77734375" customWidth="1"/>
    <col min="11" max="11" width="6.6640625" customWidth="1"/>
    <col min="12" max="20" width="7.77734375" customWidth="1"/>
  </cols>
  <sheetData>
    <row r="1" spans="1:20" x14ac:dyDescent="0.25">
      <c r="A1" s="69"/>
    </row>
    <row r="2" spans="1:20" ht="14.4" x14ac:dyDescent="0.25">
      <c r="B2" s="152" t="s">
        <v>55</v>
      </c>
    </row>
    <row r="3" spans="1:20" ht="14.4" x14ac:dyDescent="0.25">
      <c r="B3" s="152" t="s">
        <v>56</v>
      </c>
    </row>
    <row r="4" spans="1:20" ht="14.4" x14ac:dyDescent="0.25">
      <c r="B4" s="154" t="s">
        <v>54</v>
      </c>
    </row>
    <row r="6" spans="1:20" ht="15.6" x14ac:dyDescent="0.25">
      <c r="B6" s="161" t="s">
        <v>380</v>
      </c>
    </row>
    <row r="8" spans="1:20" ht="15.6" x14ac:dyDescent="0.25">
      <c r="A8" s="141"/>
      <c r="B8" s="2" t="s">
        <v>52</v>
      </c>
      <c r="C8" s="3"/>
      <c r="D8" s="4"/>
      <c r="E8" s="4"/>
      <c r="F8" s="4"/>
      <c r="G8" s="3"/>
      <c r="H8" s="5"/>
      <c r="I8" s="6"/>
      <c r="J8" s="5"/>
      <c r="K8" s="79"/>
      <c r="L8" s="79"/>
      <c r="M8" s="79"/>
      <c r="N8" s="79"/>
      <c r="O8" s="79"/>
      <c r="P8" s="79"/>
      <c r="Q8" s="79"/>
      <c r="R8" s="184"/>
      <c r="S8" s="184"/>
      <c r="T8" s="185"/>
    </row>
    <row r="9" spans="1:20" ht="40.049999999999997" customHeight="1" x14ac:dyDescent="0.3">
      <c r="B9" s="380" t="s">
        <v>467</v>
      </c>
      <c r="C9" s="188"/>
      <c r="D9" s="188"/>
      <c r="E9" s="188"/>
      <c r="F9" s="188"/>
      <c r="G9" s="188"/>
      <c r="H9" s="188"/>
      <c r="I9" s="188"/>
      <c r="J9" s="188"/>
      <c r="K9" s="188"/>
      <c r="L9" s="164" t="s">
        <v>167</v>
      </c>
      <c r="M9" s="164" t="s">
        <v>424</v>
      </c>
      <c r="N9" s="164" t="s">
        <v>426</v>
      </c>
      <c r="O9" s="164" t="s">
        <v>425</v>
      </c>
      <c r="P9" s="164" t="s">
        <v>427</v>
      </c>
      <c r="Q9" s="164" t="s">
        <v>428</v>
      </c>
      <c r="R9" s="164" t="s">
        <v>429</v>
      </c>
      <c r="S9" s="164" t="s">
        <v>616</v>
      </c>
      <c r="T9" s="183"/>
    </row>
    <row r="10" spans="1:20" ht="14.4" x14ac:dyDescent="0.25">
      <c r="B10" s="835" t="s">
        <v>156</v>
      </c>
      <c r="C10" s="189" t="s">
        <v>0</v>
      </c>
      <c r="D10" s="190" t="s">
        <v>12</v>
      </c>
      <c r="E10" s="190" t="s">
        <v>4</v>
      </c>
      <c r="F10" s="190" t="s">
        <v>2</v>
      </c>
      <c r="G10" s="190" t="s">
        <v>6</v>
      </c>
      <c r="H10" s="190" t="s">
        <v>5</v>
      </c>
      <c r="I10" s="190" t="s">
        <v>35</v>
      </c>
      <c r="J10" s="191" t="s">
        <v>14</v>
      </c>
      <c r="K10" s="883" t="s">
        <v>154</v>
      </c>
      <c r="L10" s="831" t="s">
        <v>50</v>
      </c>
      <c r="M10" s="830" t="s">
        <v>93</v>
      </c>
      <c r="N10" s="830" t="s">
        <v>94</v>
      </c>
      <c r="O10" s="830" t="s">
        <v>95</v>
      </c>
      <c r="P10" s="830" t="s">
        <v>96</v>
      </c>
      <c r="Q10" s="830" t="s">
        <v>97</v>
      </c>
      <c r="R10" s="830" t="s">
        <v>98</v>
      </c>
      <c r="S10" s="830" t="s">
        <v>646</v>
      </c>
      <c r="T10" s="833" t="s">
        <v>8</v>
      </c>
    </row>
    <row r="11" spans="1:20" ht="14.4" x14ac:dyDescent="0.3">
      <c r="B11" s="882"/>
      <c r="C11" s="192" t="s">
        <v>9</v>
      </c>
      <c r="D11" s="193" t="s">
        <v>10</v>
      </c>
      <c r="E11" s="193" t="s">
        <v>10</v>
      </c>
      <c r="F11" s="193" t="s">
        <v>10</v>
      </c>
      <c r="G11" s="192" t="s">
        <v>9</v>
      </c>
      <c r="H11" s="192" t="s">
        <v>9</v>
      </c>
      <c r="I11" s="192" t="s">
        <v>9</v>
      </c>
      <c r="J11" s="194" t="s">
        <v>15</v>
      </c>
      <c r="K11" s="884"/>
      <c r="L11" s="830"/>
      <c r="M11" s="831"/>
      <c r="N11" s="831"/>
      <c r="O11" s="831"/>
      <c r="P11" s="831"/>
      <c r="Q11" s="831"/>
      <c r="R11" s="831"/>
      <c r="S11" s="831"/>
      <c r="T11" s="833"/>
    </row>
    <row r="12" spans="1:20" ht="14.4" x14ac:dyDescent="0.3">
      <c r="A12" s="218" t="s">
        <v>448</v>
      </c>
      <c r="B12" s="217" t="s">
        <v>165</v>
      </c>
      <c r="C12" s="196"/>
      <c r="D12" s="197">
        <v>1.7</v>
      </c>
      <c r="E12" s="197">
        <v>0.7</v>
      </c>
      <c r="F12" s="197"/>
      <c r="G12" s="83">
        <v>1</v>
      </c>
      <c r="H12" s="198">
        <f>D12*E12*G12</f>
        <v>1.19</v>
      </c>
      <c r="I12" s="84"/>
      <c r="J12" s="148"/>
      <c r="K12" s="199" t="s">
        <v>3</v>
      </c>
      <c r="L12" s="53">
        <f t="shared" ref="L12:L15" si="0">H12</f>
        <v>1.19</v>
      </c>
      <c r="M12" s="53"/>
      <c r="N12" s="53"/>
      <c r="O12" s="53"/>
      <c r="P12" s="53"/>
      <c r="Q12" s="53"/>
      <c r="R12" s="200"/>
      <c r="S12" s="200"/>
      <c r="T12" s="201">
        <f>SUM(L12:R12)</f>
        <v>1.19</v>
      </c>
    </row>
    <row r="13" spans="1:20" ht="14.4" x14ac:dyDescent="0.3">
      <c r="A13" s="218" t="s">
        <v>421</v>
      </c>
      <c r="B13" s="217" t="s">
        <v>165</v>
      </c>
      <c r="C13" s="196"/>
      <c r="D13" s="197">
        <v>1.78</v>
      </c>
      <c r="E13" s="197">
        <v>0.7</v>
      </c>
      <c r="F13" s="197"/>
      <c r="G13" s="83">
        <v>1</v>
      </c>
      <c r="H13" s="198">
        <f t="shared" ref="H13:H20" si="1">D13*E13*G13</f>
        <v>1.246</v>
      </c>
      <c r="I13" s="84"/>
      <c r="J13" s="148"/>
      <c r="K13" s="199" t="s">
        <v>3</v>
      </c>
      <c r="L13" s="53">
        <f t="shared" si="0"/>
        <v>1.246</v>
      </c>
      <c r="M13" s="53"/>
      <c r="N13" s="53"/>
      <c r="O13" s="53"/>
      <c r="P13" s="53"/>
      <c r="Q13" s="53"/>
      <c r="R13" s="200"/>
      <c r="S13" s="200"/>
      <c r="T13" s="201">
        <f>SUM(L13:R13)</f>
        <v>1.246</v>
      </c>
    </row>
    <row r="14" spans="1:20" ht="14.4" x14ac:dyDescent="0.3">
      <c r="A14" s="218" t="s">
        <v>421</v>
      </c>
      <c r="B14" s="217" t="s">
        <v>166</v>
      </c>
      <c r="C14" s="196"/>
      <c r="D14" s="197">
        <v>1.78</v>
      </c>
      <c r="E14" s="197">
        <v>0.7</v>
      </c>
      <c r="F14" s="197"/>
      <c r="G14" s="83">
        <v>1</v>
      </c>
      <c r="H14" s="198">
        <f t="shared" si="1"/>
        <v>1.246</v>
      </c>
      <c r="I14" s="84"/>
      <c r="J14" s="148"/>
      <c r="K14" s="199" t="s">
        <v>3</v>
      </c>
      <c r="L14" s="53">
        <f t="shared" si="0"/>
        <v>1.246</v>
      </c>
      <c r="M14" s="53"/>
      <c r="N14" s="53"/>
      <c r="O14" s="53"/>
      <c r="P14" s="53"/>
      <c r="Q14" s="53"/>
      <c r="R14" s="200"/>
      <c r="S14" s="200"/>
      <c r="T14" s="201">
        <f>SUM(L14:R14)</f>
        <v>1.246</v>
      </c>
    </row>
    <row r="15" spans="1:20" ht="14.4" x14ac:dyDescent="0.3">
      <c r="A15" s="218" t="s">
        <v>422</v>
      </c>
      <c r="B15" s="217" t="s">
        <v>166</v>
      </c>
      <c r="C15" s="196"/>
      <c r="D15" s="197">
        <v>1.85</v>
      </c>
      <c r="E15" s="197">
        <v>0.7</v>
      </c>
      <c r="F15" s="197"/>
      <c r="G15" s="83">
        <v>1</v>
      </c>
      <c r="H15" s="198">
        <f t="shared" si="1"/>
        <v>1.2949999999999999</v>
      </c>
      <c r="I15" s="84"/>
      <c r="J15" s="148"/>
      <c r="K15" s="199" t="s">
        <v>3</v>
      </c>
      <c r="L15" s="53">
        <f t="shared" si="0"/>
        <v>1.2949999999999999</v>
      </c>
      <c r="M15" s="53"/>
      <c r="N15" s="53"/>
      <c r="O15" s="53"/>
      <c r="P15" s="53"/>
      <c r="Q15" s="53"/>
      <c r="R15" s="200"/>
      <c r="S15" s="200"/>
      <c r="T15" s="201">
        <f>SUM(L15:R15)</f>
        <v>1.2949999999999999</v>
      </c>
    </row>
    <row r="16" spans="1:20" ht="14.4" x14ac:dyDescent="0.3">
      <c r="A16" s="218" t="s">
        <v>448</v>
      </c>
      <c r="B16" s="217" t="s">
        <v>419</v>
      </c>
      <c r="C16" s="196"/>
      <c r="D16" s="197">
        <v>1.75</v>
      </c>
      <c r="E16" s="197">
        <v>0.7</v>
      </c>
      <c r="F16" s="197"/>
      <c r="G16" s="83">
        <v>2</v>
      </c>
      <c r="H16" s="375">
        <f t="shared" si="1"/>
        <v>2.4499999999999997</v>
      </c>
      <c r="I16" s="84"/>
      <c r="J16" s="148"/>
      <c r="K16" s="199" t="s">
        <v>3</v>
      </c>
      <c r="L16" s="53"/>
      <c r="M16" s="53">
        <f>H16</f>
        <v>2.4499999999999997</v>
      </c>
      <c r="N16" s="53"/>
      <c r="O16" s="53"/>
      <c r="P16" s="53"/>
      <c r="Q16" s="53"/>
      <c r="R16" s="200"/>
      <c r="S16" s="200"/>
      <c r="T16" s="201">
        <f>SUM(L16:R16)</f>
        <v>2.4499999999999997</v>
      </c>
    </row>
    <row r="17" spans="1:21" ht="14.4" x14ac:dyDescent="0.3">
      <c r="A17" s="218" t="s">
        <v>448</v>
      </c>
      <c r="B17" s="199" t="s">
        <v>449</v>
      </c>
      <c r="C17" s="196"/>
      <c r="D17" s="197">
        <v>0.95</v>
      </c>
      <c r="E17" s="197">
        <v>0.7</v>
      </c>
      <c r="F17" s="197"/>
      <c r="G17" s="83">
        <v>2</v>
      </c>
      <c r="H17" s="375">
        <f t="shared" si="1"/>
        <v>1.3299999999999998</v>
      </c>
      <c r="I17" s="84"/>
      <c r="J17" s="148"/>
      <c r="K17" s="199" t="s">
        <v>3</v>
      </c>
      <c r="L17" s="53"/>
      <c r="M17" s="53"/>
      <c r="N17" s="53">
        <f>H17</f>
        <v>1.3299999999999998</v>
      </c>
      <c r="O17" s="53"/>
      <c r="P17" s="53"/>
      <c r="Q17" s="53"/>
      <c r="R17" s="200"/>
      <c r="S17" s="200"/>
      <c r="T17" s="201">
        <f t="shared" ref="T17:T20" si="2">SUM(L17:R17)</f>
        <v>1.3299999999999998</v>
      </c>
    </row>
    <row r="18" spans="1:21" ht="14.4" x14ac:dyDescent="0.3">
      <c r="A18" s="218" t="s">
        <v>421</v>
      </c>
      <c r="B18" s="199" t="s">
        <v>450</v>
      </c>
      <c r="C18" s="196"/>
      <c r="D18" s="197">
        <v>1.53</v>
      </c>
      <c r="E18" s="197">
        <v>0.7</v>
      </c>
      <c r="F18" s="197"/>
      <c r="G18" s="83">
        <v>2</v>
      </c>
      <c r="H18" s="375">
        <f t="shared" si="1"/>
        <v>2.1419999999999999</v>
      </c>
      <c r="I18" s="84"/>
      <c r="J18" s="148"/>
      <c r="K18" s="199" t="s">
        <v>3</v>
      </c>
      <c r="L18" s="53"/>
      <c r="M18" s="53"/>
      <c r="N18" s="53">
        <f t="shared" ref="N18:N19" si="3">H18</f>
        <v>2.1419999999999999</v>
      </c>
      <c r="O18" s="53"/>
      <c r="P18" s="53"/>
      <c r="Q18" s="53"/>
      <c r="R18" s="200"/>
      <c r="S18" s="200"/>
      <c r="T18" s="201">
        <f t="shared" si="2"/>
        <v>2.1419999999999999</v>
      </c>
    </row>
    <row r="19" spans="1:21" ht="14.4" x14ac:dyDescent="0.3">
      <c r="A19" s="218" t="s">
        <v>422</v>
      </c>
      <c r="B19" s="199" t="s">
        <v>451</v>
      </c>
      <c r="C19" s="196"/>
      <c r="D19" s="197">
        <v>2.5499999999999998</v>
      </c>
      <c r="E19" s="197">
        <v>0.7</v>
      </c>
      <c r="F19" s="197"/>
      <c r="G19" s="83">
        <v>2</v>
      </c>
      <c r="H19" s="375">
        <f t="shared" si="1"/>
        <v>3.5699999999999994</v>
      </c>
      <c r="I19" s="84"/>
      <c r="J19" s="148"/>
      <c r="K19" s="199" t="s">
        <v>3</v>
      </c>
      <c r="L19" s="53"/>
      <c r="M19" s="53"/>
      <c r="N19" s="53">
        <f t="shared" si="3"/>
        <v>3.5699999999999994</v>
      </c>
      <c r="O19" s="53"/>
      <c r="P19" s="53"/>
      <c r="Q19" s="53"/>
      <c r="R19" s="200"/>
      <c r="S19" s="200"/>
      <c r="T19" s="201">
        <f t="shared" si="2"/>
        <v>3.5699999999999994</v>
      </c>
    </row>
    <row r="20" spans="1:21" ht="14.4" x14ac:dyDescent="0.3">
      <c r="A20" s="218" t="s">
        <v>423</v>
      </c>
      <c r="B20" s="199" t="s">
        <v>462</v>
      </c>
      <c r="C20" s="196"/>
      <c r="D20" s="197">
        <v>1.55</v>
      </c>
      <c r="E20" s="197">
        <v>0.65</v>
      </c>
      <c r="F20" s="197"/>
      <c r="G20" s="83">
        <v>2</v>
      </c>
      <c r="H20" s="375">
        <f t="shared" si="1"/>
        <v>2.0150000000000001</v>
      </c>
      <c r="I20" s="84"/>
      <c r="J20" s="148"/>
      <c r="K20" s="199" t="s">
        <v>3</v>
      </c>
      <c r="L20" s="53"/>
      <c r="M20" s="53"/>
      <c r="N20" s="53"/>
      <c r="O20" s="53"/>
      <c r="P20" s="53"/>
      <c r="Q20" s="53">
        <f>H20</f>
        <v>2.0150000000000001</v>
      </c>
      <c r="R20" s="200"/>
      <c r="S20" s="200"/>
      <c r="T20" s="201">
        <f t="shared" si="2"/>
        <v>2.0150000000000001</v>
      </c>
    </row>
    <row r="21" spans="1:21" ht="14.4" x14ac:dyDescent="0.25">
      <c r="B21" s="216" t="s">
        <v>27</v>
      </c>
      <c r="C21" s="203"/>
      <c r="D21" s="204"/>
      <c r="E21" s="205"/>
      <c r="F21" s="205"/>
      <c r="G21" s="206"/>
      <c r="H21" s="205"/>
      <c r="I21" s="205"/>
      <c r="J21" s="205"/>
      <c r="K21" s="207" t="s">
        <v>3</v>
      </c>
      <c r="L21" s="208"/>
      <c r="M21" s="208"/>
      <c r="N21" s="208"/>
      <c r="O21" s="208"/>
      <c r="P21" s="208"/>
      <c r="Q21" s="208"/>
      <c r="R21" s="208"/>
      <c r="S21" s="212"/>
      <c r="T21" s="208">
        <f>SUM(T12:T20)</f>
        <v>16.483999999999998</v>
      </c>
      <c r="U21" s="1"/>
    </row>
    <row r="22" spans="1:21" ht="40.049999999999997" customHeight="1" x14ac:dyDescent="0.3">
      <c r="B22" s="380" t="s">
        <v>466</v>
      </c>
      <c r="C22" s="209"/>
      <c r="D22" s="209"/>
      <c r="E22" s="209"/>
      <c r="F22" s="209"/>
      <c r="G22" s="209"/>
      <c r="H22" s="209"/>
      <c r="I22" s="209"/>
      <c r="J22" s="209"/>
      <c r="K22" s="209"/>
      <c r="L22" s="376" t="s">
        <v>167</v>
      </c>
      <c r="M22" s="376" t="s">
        <v>424</v>
      </c>
      <c r="N22" s="376" t="s">
        <v>426</v>
      </c>
      <c r="O22" s="376" t="s">
        <v>425</v>
      </c>
      <c r="P22" s="376" t="s">
        <v>427</v>
      </c>
      <c r="Q22" s="376" t="s">
        <v>428</v>
      </c>
      <c r="R22" s="376" t="s">
        <v>429</v>
      </c>
      <c r="S22" s="164" t="s">
        <v>616</v>
      </c>
      <c r="T22" s="185"/>
    </row>
    <row r="23" spans="1:21" ht="14.4" x14ac:dyDescent="0.25">
      <c r="B23" s="835" t="s">
        <v>156</v>
      </c>
      <c r="C23" s="189" t="s">
        <v>0</v>
      </c>
      <c r="D23" s="190" t="s">
        <v>12</v>
      </c>
      <c r="E23" s="190" t="s">
        <v>4</v>
      </c>
      <c r="F23" s="190" t="s">
        <v>2</v>
      </c>
      <c r="G23" s="190" t="s">
        <v>6</v>
      </c>
      <c r="H23" s="190" t="s">
        <v>5</v>
      </c>
      <c r="I23" s="190" t="s">
        <v>35</v>
      </c>
      <c r="J23" s="191" t="s">
        <v>14</v>
      </c>
      <c r="K23" s="883" t="s">
        <v>154</v>
      </c>
      <c r="L23" s="831" t="s">
        <v>50</v>
      </c>
      <c r="M23" s="830" t="s">
        <v>93</v>
      </c>
      <c r="N23" s="830" t="s">
        <v>94</v>
      </c>
      <c r="O23" s="830" t="s">
        <v>95</v>
      </c>
      <c r="P23" s="830" t="s">
        <v>96</v>
      </c>
      <c r="Q23" s="830" t="s">
        <v>97</v>
      </c>
      <c r="R23" s="830" t="s">
        <v>98</v>
      </c>
      <c r="S23" s="830" t="s">
        <v>646</v>
      </c>
      <c r="T23" s="833" t="s">
        <v>8</v>
      </c>
    </row>
    <row r="24" spans="1:21" ht="14.4" x14ac:dyDescent="0.3">
      <c r="B24" s="882"/>
      <c r="C24" s="192" t="s">
        <v>9</v>
      </c>
      <c r="D24" s="193" t="s">
        <v>10</v>
      </c>
      <c r="E24" s="193" t="s">
        <v>10</v>
      </c>
      <c r="F24" s="193" t="s">
        <v>10</v>
      </c>
      <c r="G24" s="192" t="s">
        <v>9</v>
      </c>
      <c r="H24" s="192" t="s">
        <v>9</v>
      </c>
      <c r="I24" s="192" t="s">
        <v>9</v>
      </c>
      <c r="J24" s="194" t="s">
        <v>15</v>
      </c>
      <c r="K24" s="884"/>
      <c r="L24" s="830"/>
      <c r="M24" s="831"/>
      <c r="N24" s="831"/>
      <c r="O24" s="831"/>
      <c r="P24" s="831"/>
      <c r="Q24" s="831"/>
      <c r="R24" s="831"/>
      <c r="S24" s="831"/>
      <c r="T24" s="833"/>
    </row>
    <row r="25" spans="1:21" ht="14.4" x14ac:dyDescent="0.3">
      <c r="A25" s="218" t="s">
        <v>423</v>
      </c>
      <c r="B25" s="199" t="s">
        <v>455</v>
      </c>
      <c r="C25" s="196"/>
      <c r="D25" s="197">
        <v>0.95</v>
      </c>
      <c r="E25" s="197">
        <v>0.75</v>
      </c>
      <c r="F25" s="197"/>
      <c r="G25" s="83">
        <v>1</v>
      </c>
      <c r="H25" s="198">
        <f t="shared" ref="H25:H34" si="4">D25*E25*G25</f>
        <v>0.71249999999999991</v>
      </c>
      <c r="I25" s="84"/>
      <c r="J25" s="148"/>
      <c r="K25" s="199" t="s">
        <v>3</v>
      </c>
      <c r="L25" s="53"/>
      <c r="M25" s="53"/>
      <c r="N25" s="53"/>
      <c r="O25" s="53">
        <f>H25</f>
        <v>0.71249999999999991</v>
      </c>
      <c r="P25" s="53"/>
      <c r="Q25" s="53"/>
      <c r="R25" s="200"/>
      <c r="S25" s="200"/>
      <c r="T25" s="201">
        <f>SUM(L25:R25)</f>
        <v>0.71249999999999991</v>
      </c>
    </row>
    <row r="26" spans="1:21" ht="14.4" x14ac:dyDescent="0.3">
      <c r="A26" s="218" t="s">
        <v>423</v>
      </c>
      <c r="B26" s="217" t="s">
        <v>213</v>
      </c>
      <c r="C26" s="196"/>
      <c r="D26" s="197">
        <v>0.9</v>
      </c>
      <c r="E26" s="197">
        <v>0.55000000000000004</v>
      </c>
      <c r="F26" s="197"/>
      <c r="G26" s="83">
        <v>1</v>
      </c>
      <c r="H26" s="198">
        <f t="shared" si="4"/>
        <v>0.49500000000000005</v>
      </c>
      <c r="I26" s="84"/>
      <c r="J26" s="148"/>
      <c r="K26" s="199" t="s">
        <v>3</v>
      </c>
      <c r="L26" s="53"/>
      <c r="M26" s="53"/>
      <c r="N26" s="53"/>
      <c r="O26" s="53"/>
      <c r="P26" s="53">
        <f>H26</f>
        <v>0.49500000000000005</v>
      </c>
      <c r="Q26" s="53"/>
      <c r="R26" s="200"/>
      <c r="S26" s="200"/>
      <c r="T26" s="201">
        <f t="shared" ref="T26:T34" si="5">SUM(L26:R26)</f>
        <v>0.49500000000000005</v>
      </c>
    </row>
    <row r="27" spans="1:21" ht="14.4" x14ac:dyDescent="0.3">
      <c r="A27" s="218" t="s">
        <v>430</v>
      </c>
      <c r="B27" s="217" t="s">
        <v>168</v>
      </c>
      <c r="C27" s="196"/>
      <c r="D27" s="197">
        <v>1.1499999999999999</v>
      </c>
      <c r="E27" s="197">
        <v>0.55000000000000004</v>
      </c>
      <c r="F27" s="197"/>
      <c r="G27" s="83">
        <v>1</v>
      </c>
      <c r="H27" s="198">
        <f t="shared" si="4"/>
        <v>0.63249999999999995</v>
      </c>
      <c r="I27" s="84"/>
      <c r="J27" s="148"/>
      <c r="K27" s="199" t="s">
        <v>3</v>
      </c>
      <c r="L27" s="53"/>
      <c r="M27" s="53"/>
      <c r="N27" s="53"/>
      <c r="O27" s="53"/>
      <c r="P27" s="53">
        <f t="shared" ref="P27:P31" si="6">H27</f>
        <v>0.63249999999999995</v>
      </c>
      <c r="Q27" s="53"/>
      <c r="R27" s="200"/>
      <c r="S27" s="200"/>
      <c r="T27" s="201">
        <f t="shared" si="5"/>
        <v>0.63249999999999995</v>
      </c>
    </row>
    <row r="28" spans="1:21" ht="14.4" x14ac:dyDescent="0.3">
      <c r="A28" s="218" t="s">
        <v>431</v>
      </c>
      <c r="B28" s="217" t="s">
        <v>213</v>
      </c>
      <c r="C28" s="196"/>
      <c r="D28" s="197">
        <v>1.1499999999999999</v>
      </c>
      <c r="E28" s="197">
        <v>0.55000000000000004</v>
      </c>
      <c r="F28" s="197"/>
      <c r="G28" s="83">
        <v>1</v>
      </c>
      <c r="H28" s="198">
        <f t="shared" si="4"/>
        <v>0.63249999999999995</v>
      </c>
      <c r="I28" s="84"/>
      <c r="J28" s="148"/>
      <c r="K28" s="199" t="s">
        <v>3</v>
      </c>
      <c r="L28" s="53"/>
      <c r="M28" s="53"/>
      <c r="N28" s="53"/>
      <c r="O28" s="53"/>
      <c r="P28" s="53">
        <f t="shared" si="6"/>
        <v>0.63249999999999995</v>
      </c>
      <c r="Q28" s="53"/>
      <c r="R28" s="200"/>
      <c r="S28" s="200"/>
      <c r="T28" s="201">
        <f t="shared" si="5"/>
        <v>0.63249999999999995</v>
      </c>
    </row>
    <row r="29" spans="1:21" ht="14.4" x14ac:dyDescent="0.3">
      <c r="A29" s="218" t="s">
        <v>432</v>
      </c>
      <c r="B29" s="217" t="s">
        <v>213</v>
      </c>
      <c r="C29" s="196"/>
      <c r="D29" s="197">
        <v>1.35</v>
      </c>
      <c r="E29" s="197">
        <v>0.55000000000000004</v>
      </c>
      <c r="F29" s="197"/>
      <c r="G29" s="83">
        <v>1</v>
      </c>
      <c r="H29" s="198">
        <f t="shared" si="4"/>
        <v>0.74250000000000016</v>
      </c>
      <c r="I29" s="84"/>
      <c r="J29" s="148"/>
      <c r="K29" s="199" t="s">
        <v>3</v>
      </c>
      <c r="L29" s="53"/>
      <c r="M29" s="53"/>
      <c r="N29" s="53"/>
      <c r="O29" s="53"/>
      <c r="P29" s="53">
        <f t="shared" si="6"/>
        <v>0.74250000000000016</v>
      </c>
      <c r="Q29" s="53"/>
      <c r="R29" s="200"/>
      <c r="S29" s="200"/>
      <c r="T29" s="201">
        <f t="shared" si="5"/>
        <v>0.74250000000000016</v>
      </c>
    </row>
    <row r="30" spans="1:21" ht="14.4" x14ac:dyDescent="0.3">
      <c r="A30" s="218" t="s">
        <v>433</v>
      </c>
      <c r="B30" s="217" t="s">
        <v>213</v>
      </c>
      <c r="C30" s="196"/>
      <c r="D30" s="197">
        <v>1.76</v>
      </c>
      <c r="E30" s="197">
        <v>0.55000000000000004</v>
      </c>
      <c r="F30" s="197"/>
      <c r="G30" s="83">
        <v>1</v>
      </c>
      <c r="H30" s="198">
        <f t="shared" si="4"/>
        <v>0.96800000000000008</v>
      </c>
      <c r="I30" s="84"/>
      <c r="J30" s="148"/>
      <c r="K30" s="199" t="s">
        <v>3</v>
      </c>
      <c r="L30" s="53"/>
      <c r="M30" s="53"/>
      <c r="N30" s="53"/>
      <c r="O30" s="53"/>
      <c r="P30" s="53">
        <f t="shared" si="6"/>
        <v>0.96800000000000008</v>
      </c>
      <c r="Q30" s="53"/>
      <c r="R30" s="200"/>
      <c r="S30" s="200"/>
      <c r="T30" s="201">
        <f t="shared" si="5"/>
        <v>0.96800000000000008</v>
      </c>
    </row>
    <row r="31" spans="1:21" ht="14.4" x14ac:dyDescent="0.3">
      <c r="A31" s="218" t="s">
        <v>434</v>
      </c>
      <c r="B31" s="217" t="s">
        <v>213</v>
      </c>
      <c r="C31" s="196"/>
      <c r="D31" s="197">
        <v>1.85</v>
      </c>
      <c r="E31" s="197">
        <v>0.55000000000000004</v>
      </c>
      <c r="F31" s="197"/>
      <c r="G31" s="83">
        <v>1</v>
      </c>
      <c r="H31" s="198">
        <f t="shared" si="4"/>
        <v>1.0175000000000001</v>
      </c>
      <c r="I31" s="84"/>
      <c r="J31" s="148"/>
      <c r="K31" s="199" t="s">
        <v>3</v>
      </c>
      <c r="L31" s="53"/>
      <c r="M31" s="53"/>
      <c r="N31" s="53"/>
      <c r="O31" s="53"/>
      <c r="P31" s="53">
        <f t="shared" si="6"/>
        <v>1.0175000000000001</v>
      </c>
      <c r="Q31" s="53"/>
      <c r="R31" s="200"/>
      <c r="S31" s="200"/>
      <c r="T31" s="201">
        <f t="shared" si="5"/>
        <v>1.0175000000000001</v>
      </c>
    </row>
    <row r="32" spans="1:21" ht="14.4" x14ac:dyDescent="0.3">
      <c r="A32" s="218" t="s">
        <v>422</v>
      </c>
      <c r="B32" s="217" t="s">
        <v>460</v>
      </c>
      <c r="C32" s="196"/>
      <c r="D32" s="197">
        <v>0.7</v>
      </c>
      <c r="E32" s="197">
        <v>0.4</v>
      </c>
      <c r="F32" s="197"/>
      <c r="G32" s="83">
        <v>4</v>
      </c>
      <c r="H32" s="198">
        <f t="shared" si="4"/>
        <v>1.1199999999999999</v>
      </c>
      <c r="I32" s="84"/>
      <c r="J32" s="148"/>
      <c r="K32" s="199" t="s">
        <v>3</v>
      </c>
      <c r="L32" s="53"/>
      <c r="M32" s="53"/>
      <c r="N32" s="53"/>
      <c r="O32" s="53"/>
      <c r="P32" s="53"/>
      <c r="Q32" s="53">
        <f>H32</f>
        <v>1.1199999999999999</v>
      </c>
      <c r="R32" s="200"/>
      <c r="S32" s="200"/>
      <c r="T32" s="201">
        <f t="shared" si="5"/>
        <v>1.1199999999999999</v>
      </c>
    </row>
    <row r="33" spans="1:21" ht="14.4" x14ac:dyDescent="0.3">
      <c r="A33" s="218" t="s">
        <v>430</v>
      </c>
      <c r="B33" s="217" t="s">
        <v>461</v>
      </c>
      <c r="C33" s="196"/>
      <c r="D33" s="197">
        <v>1.6</v>
      </c>
      <c r="E33" s="197">
        <v>0.4</v>
      </c>
      <c r="F33" s="197"/>
      <c r="G33" s="83">
        <v>1</v>
      </c>
      <c r="H33" s="198">
        <f t="shared" si="4"/>
        <v>0.64000000000000012</v>
      </c>
      <c r="I33" s="84"/>
      <c r="J33" s="148"/>
      <c r="K33" s="199" t="s">
        <v>3</v>
      </c>
      <c r="L33" s="53"/>
      <c r="M33" s="53"/>
      <c r="N33" s="53"/>
      <c r="O33" s="53"/>
      <c r="P33" s="53"/>
      <c r="Q33" s="53">
        <f>H33</f>
        <v>0.64000000000000012</v>
      </c>
      <c r="R33" s="200"/>
      <c r="S33" s="200"/>
      <c r="T33" s="201">
        <f t="shared" si="5"/>
        <v>0.64000000000000012</v>
      </c>
    </row>
    <row r="34" spans="1:21" ht="14.4" x14ac:dyDescent="0.3">
      <c r="A34" s="218" t="s">
        <v>431</v>
      </c>
      <c r="B34" s="217" t="s">
        <v>455</v>
      </c>
      <c r="C34" s="196"/>
      <c r="D34" s="197">
        <v>1</v>
      </c>
      <c r="E34" s="197">
        <v>0.4</v>
      </c>
      <c r="F34" s="197"/>
      <c r="G34" s="83">
        <v>10</v>
      </c>
      <c r="H34" s="198">
        <f t="shared" si="4"/>
        <v>4</v>
      </c>
      <c r="I34" s="84"/>
      <c r="J34" s="148"/>
      <c r="K34" s="199" t="s">
        <v>3</v>
      </c>
      <c r="L34" s="53"/>
      <c r="M34" s="53"/>
      <c r="N34" s="53"/>
      <c r="O34" s="53"/>
      <c r="P34" s="53"/>
      <c r="Q34" s="53"/>
      <c r="R34" s="200">
        <f>H34</f>
        <v>4</v>
      </c>
      <c r="S34" s="200"/>
      <c r="T34" s="201">
        <f t="shared" si="5"/>
        <v>4</v>
      </c>
    </row>
    <row r="35" spans="1:21" ht="14.4" x14ac:dyDescent="0.25">
      <c r="B35" s="216" t="s">
        <v>27</v>
      </c>
      <c r="C35" s="203"/>
      <c r="D35" s="204"/>
      <c r="E35" s="205"/>
      <c r="F35" s="205"/>
      <c r="G35" s="206"/>
      <c r="H35" s="205"/>
      <c r="I35" s="205"/>
      <c r="J35" s="205"/>
      <c r="K35" s="207" t="s">
        <v>3</v>
      </c>
      <c r="L35" s="208"/>
      <c r="M35" s="208"/>
      <c r="N35" s="208"/>
      <c r="O35" s="208"/>
      <c r="P35" s="208"/>
      <c r="Q35" s="208"/>
      <c r="R35" s="208"/>
      <c r="S35" s="212"/>
      <c r="T35" s="208">
        <f>SUM(T25:T34)</f>
        <v>10.9605</v>
      </c>
      <c r="U35" s="1"/>
    </row>
    <row r="36" spans="1:21" ht="40.049999999999997" customHeight="1" x14ac:dyDescent="0.3">
      <c r="B36" s="380" t="s">
        <v>465</v>
      </c>
      <c r="C36" s="209"/>
      <c r="D36" s="209"/>
      <c r="E36" s="209"/>
      <c r="F36" s="209"/>
      <c r="G36" s="209"/>
      <c r="H36" s="209"/>
      <c r="I36" s="209"/>
      <c r="J36" s="209"/>
      <c r="K36" s="209"/>
      <c r="L36" s="376" t="s">
        <v>167</v>
      </c>
      <c r="M36" s="376" t="s">
        <v>424</v>
      </c>
      <c r="N36" s="376" t="s">
        <v>426</v>
      </c>
      <c r="O36" s="376" t="s">
        <v>425</v>
      </c>
      <c r="P36" s="376" t="s">
        <v>427</v>
      </c>
      <c r="Q36" s="376" t="s">
        <v>428</v>
      </c>
      <c r="R36" s="376" t="s">
        <v>429</v>
      </c>
      <c r="S36" s="164" t="s">
        <v>616</v>
      </c>
      <c r="T36" s="185"/>
    </row>
    <row r="37" spans="1:21" ht="14.4" x14ac:dyDescent="0.25">
      <c r="B37" s="835" t="s">
        <v>156</v>
      </c>
      <c r="C37" s="189" t="s">
        <v>0</v>
      </c>
      <c r="D37" s="190" t="s">
        <v>12</v>
      </c>
      <c r="E37" s="190" t="s">
        <v>4</v>
      </c>
      <c r="F37" s="190" t="s">
        <v>2</v>
      </c>
      <c r="G37" s="190" t="s">
        <v>6</v>
      </c>
      <c r="H37" s="190" t="s">
        <v>5</v>
      </c>
      <c r="I37" s="190" t="s">
        <v>35</v>
      </c>
      <c r="J37" s="191" t="s">
        <v>14</v>
      </c>
      <c r="K37" s="883" t="s">
        <v>154</v>
      </c>
      <c r="L37" s="831" t="s">
        <v>50</v>
      </c>
      <c r="M37" s="830" t="s">
        <v>93</v>
      </c>
      <c r="N37" s="830" t="s">
        <v>94</v>
      </c>
      <c r="O37" s="830" t="s">
        <v>95</v>
      </c>
      <c r="P37" s="830" t="s">
        <v>96</v>
      </c>
      <c r="Q37" s="830" t="s">
        <v>97</v>
      </c>
      <c r="R37" s="830" t="s">
        <v>98</v>
      </c>
      <c r="S37" s="830" t="s">
        <v>646</v>
      </c>
      <c r="T37" s="833" t="s">
        <v>8</v>
      </c>
    </row>
    <row r="38" spans="1:21" ht="14.4" x14ac:dyDescent="0.3">
      <c r="B38" s="882"/>
      <c r="C38" s="192" t="s">
        <v>9</v>
      </c>
      <c r="D38" s="193" t="s">
        <v>10</v>
      </c>
      <c r="E38" s="193" t="s">
        <v>10</v>
      </c>
      <c r="F38" s="193" t="s">
        <v>10</v>
      </c>
      <c r="G38" s="192" t="s">
        <v>9</v>
      </c>
      <c r="H38" s="192" t="s">
        <v>9</v>
      </c>
      <c r="I38" s="192" t="s">
        <v>9</v>
      </c>
      <c r="J38" s="194" t="s">
        <v>15</v>
      </c>
      <c r="K38" s="884"/>
      <c r="L38" s="830"/>
      <c r="M38" s="831"/>
      <c r="N38" s="831"/>
      <c r="O38" s="831"/>
      <c r="P38" s="831"/>
      <c r="Q38" s="831"/>
      <c r="R38" s="831"/>
      <c r="S38" s="831"/>
      <c r="T38" s="833"/>
    </row>
    <row r="39" spans="1:21" ht="14.4" x14ac:dyDescent="0.3">
      <c r="A39" s="218" t="s">
        <v>421</v>
      </c>
      <c r="B39" s="217" t="s">
        <v>212</v>
      </c>
      <c r="C39" s="196"/>
      <c r="D39" s="197">
        <v>2.16</v>
      </c>
      <c r="E39" s="197">
        <v>0.75</v>
      </c>
      <c r="F39" s="197"/>
      <c r="G39" s="83">
        <v>1</v>
      </c>
      <c r="H39" s="198">
        <f>D39*E39*G39</f>
        <v>1.62</v>
      </c>
      <c r="I39" s="84"/>
      <c r="J39" s="148"/>
      <c r="K39" s="199" t="s">
        <v>3</v>
      </c>
      <c r="L39" s="53"/>
      <c r="M39" s="53">
        <f>H39</f>
        <v>1.62</v>
      </c>
      <c r="N39" s="53"/>
      <c r="O39" s="53"/>
      <c r="P39" s="53"/>
      <c r="Q39" s="53"/>
      <c r="R39" s="200"/>
      <c r="S39" s="200"/>
      <c r="T39" s="201">
        <f>SUM(L39:S39)</f>
        <v>1.62</v>
      </c>
    </row>
    <row r="40" spans="1:21" ht="14.4" x14ac:dyDescent="0.3">
      <c r="A40" s="218" t="s">
        <v>422</v>
      </c>
      <c r="B40" s="217" t="s">
        <v>212</v>
      </c>
      <c r="C40" s="196"/>
      <c r="D40" s="197">
        <v>2.75</v>
      </c>
      <c r="E40" s="197">
        <v>0.75</v>
      </c>
      <c r="F40" s="197"/>
      <c r="G40" s="83">
        <v>1</v>
      </c>
      <c r="H40" s="198">
        <f t="shared" ref="H40:H59" si="7">D40*E40*G40</f>
        <v>2.0625</v>
      </c>
      <c r="I40" s="84"/>
      <c r="J40" s="148"/>
      <c r="K40" s="199" t="s">
        <v>3</v>
      </c>
      <c r="L40" s="53"/>
      <c r="M40" s="53">
        <f t="shared" ref="M40:M41" si="8">H40</f>
        <v>2.0625</v>
      </c>
      <c r="N40" s="53"/>
      <c r="O40" s="53"/>
      <c r="P40" s="53"/>
      <c r="Q40" s="53"/>
      <c r="R40" s="200"/>
      <c r="S40" s="200"/>
      <c r="T40" s="201">
        <f t="shared" ref="T40:T59" si="9">SUM(L40:S40)</f>
        <v>2.0625</v>
      </c>
    </row>
    <row r="41" spans="1:21" ht="14.4" x14ac:dyDescent="0.3">
      <c r="A41" s="218" t="s">
        <v>423</v>
      </c>
      <c r="B41" s="217" t="s">
        <v>420</v>
      </c>
      <c r="C41" s="196"/>
      <c r="D41" s="197">
        <v>3.43</v>
      </c>
      <c r="E41" s="197">
        <v>0.75</v>
      </c>
      <c r="F41" s="197"/>
      <c r="G41" s="83">
        <v>1</v>
      </c>
      <c r="H41" s="198">
        <f t="shared" si="7"/>
        <v>2.5725000000000002</v>
      </c>
      <c r="I41" s="84"/>
      <c r="J41" s="148"/>
      <c r="K41" s="199" t="s">
        <v>3</v>
      </c>
      <c r="L41" s="53"/>
      <c r="M41" s="53">
        <f t="shared" si="8"/>
        <v>2.5725000000000002</v>
      </c>
      <c r="N41" s="53"/>
      <c r="O41" s="53"/>
      <c r="P41" s="53"/>
      <c r="Q41" s="53"/>
      <c r="R41" s="200"/>
      <c r="S41" s="200"/>
      <c r="T41" s="201">
        <f t="shared" si="9"/>
        <v>2.5725000000000002</v>
      </c>
    </row>
    <row r="42" spans="1:21" ht="14.4" x14ac:dyDescent="0.3">
      <c r="A42" s="218" t="s">
        <v>423</v>
      </c>
      <c r="B42" s="217" t="s">
        <v>452</v>
      </c>
      <c r="C42" s="196"/>
      <c r="D42" s="197">
        <v>3.11</v>
      </c>
      <c r="E42" s="197">
        <v>0.63</v>
      </c>
      <c r="F42" s="197"/>
      <c r="G42" s="83">
        <v>1</v>
      </c>
      <c r="H42" s="198">
        <f t="shared" si="7"/>
        <v>1.9593</v>
      </c>
      <c r="I42" s="84"/>
      <c r="J42" s="148"/>
      <c r="K42" s="199" t="s">
        <v>3</v>
      </c>
      <c r="L42" s="53"/>
      <c r="M42" s="53"/>
      <c r="N42" s="53">
        <f>H42</f>
        <v>1.9593</v>
      </c>
      <c r="O42" s="53"/>
      <c r="P42" s="53"/>
      <c r="Q42" s="53"/>
      <c r="R42" s="200"/>
      <c r="S42" s="200"/>
      <c r="T42" s="201">
        <f t="shared" si="9"/>
        <v>1.9593</v>
      </c>
    </row>
    <row r="43" spans="1:21" ht="14.4" x14ac:dyDescent="0.3">
      <c r="A43" s="218" t="s">
        <v>430</v>
      </c>
      <c r="B43" s="217" t="s">
        <v>453</v>
      </c>
      <c r="C43" s="196"/>
      <c r="D43" s="197">
        <v>3.75</v>
      </c>
      <c r="E43" s="197">
        <v>0.75</v>
      </c>
      <c r="F43" s="197"/>
      <c r="G43" s="83">
        <v>1</v>
      </c>
      <c r="H43" s="198">
        <f t="shared" si="7"/>
        <v>2.8125</v>
      </c>
      <c r="I43" s="84"/>
      <c r="J43" s="148"/>
      <c r="K43" s="199" t="s">
        <v>3</v>
      </c>
      <c r="L43" s="53"/>
      <c r="M43" s="53"/>
      <c r="N43" s="53">
        <f>H43</f>
        <v>2.8125</v>
      </c>
      <c r="O43" s="53"/>
      <c r="P43" s="53"/>
      <c r="Q43" s="53"/>
      <c r="R43" s="200"/>
      <c r="S43" s="200"/>
      <c r="T43" s="201">
        <f t="shared" si="9"/>
        <v>2.8125</v>
      </c>
    </row>
    <row r="44" spans="1:21" ht="14.4" x14ac:dyDescent="0.3">
      <c r="A44" s="218" t="s">
        <v>430</v>
      </c>
      <c r="B44" s="217" t="s">
        <v>456</v>
      </c>
      <c r="C44" s="196"/>
      <c r="D44" s="197">
        <v>0.95</v>
      </c>
      <c r="E44" s="197">
        <v>0.75</v>
      </c>
      <c r="F44" s="197"/>
      <c r="G44" s="83">
        <v>1</v>
      </c>
      <c r="H44" s="198">
        <f t="shared" si="7"/>
        <v>0.71249999999999991</v>
      </c>
      <c r="I44" s="84"/>
      <c r="J44" s="148"/>
      <c r="K44" s="199" t="s">
        <v>3</v>
      </c>
      <c r="L44" s="53"/>
      <c r="M44" s="53"/>
      <c r="N44" s="53"/>
      <c r="O44" s="53">
        <f>H44</f>
        <v>0.71249999999999991</v>
      </c>
      <c r="P44" s="53"/>
      <c r="Q44" s="53"/>
      <c r="R44" s="200"/>
      <c r="S44" s="200"/>
      <c r="T44" s="201">
        <f t="shared" si="9"/>
        <v>0.71249999999999991</v>
      </c>
    </row>
    <row r="45" spans="1:21" ht="14.4" x14ac:dyDescent="0.3">
      <c r="A45" s="218" t="s">
        <v>431</v>
      </c>
      <c r="B45" s="217" t="s">
        <v>245</v>
      </c>
      <c r="C45" s="196"/>
      <c r="D45" s="197">
        <v>1.75</v>
      </c>
      <c r="E45" s="197">
        <v>0.75</v>
      </c>
      <c r="F45" s="197"/>
      <c r="G45" s="83">
        <v>1</v>
      </c>
      <c r="H45" s="198">
        <f t="shared" si="7"/>
        <v>1.3125</v>
      </c>
      <c r="I45" s="84"/>
      <c r="J45" s="148"/>
      <c r="K45" s="199" t="s">
        <v>3</v>
      </c>
      <c r="L45" s="53"/>
      <c r="M45" s="53"/>
      <c r="N45" s="53"/>
      <c r="O45" s="53">
        <f t="shared" ref="O45:O47" si="10">H45</f>
        <v>1.3125</v>
      </c>
      <c r="P45" s="53"/>
      <c r="Q45" s="53"/>
      <c r="R45" s="200"/>
      <c r="S45" s="200"/>
      <c r="T45" s="201">
        <f t="shared" si="9"/>
        <v>1.3125</v>
      </c>
    </row>
    <row r="46" spans="1:21" ht="14.4" x14ac:dyDescent="0.3">
      <c r="A46" s="218" t="s">
        <v>432</v>
      </c>
      <c r="B46" s="217" t="s">
        <v>331</v>
      </c>
      <c r="C46" s="196"/>
      <c r="D46" s="197">
        <v>1.98</v>
      </c>
      <c r="E46" s="197">
        <v>0.75</v>
      </c>
      <c r="F46" s="197"/>
      <c r="G46" s="83">
        <v>1</v>
      </c>
      <c r="H46" s="198">
        <f t="shared" si="7"/>
        <v>1.4849999999999999</v>
      </c>
      <c r="I46" s="84"/>
      <c r="J46" s="148"/>
      <c r="K46" s="199" t="s">
        <v>3</v>
      </c>
      <c r="L46" s="53"/>
      <c r="M46" s="53"/>
      <c r="N46" s="53"/>
      <c r="O46" s="53">
        <f t="shared" si="10"/>
        <v>1.4849999999999999</v>
      </c>
      <c r="P46" s="53"/>
      <c r="Q46" s="53"/>
      <c r="R46" s="200"/>
      <c r="S46" s="200"/>
      <c r="T46" s="201">
        <f t="shared" si="9"/>
        <v>1.4849999999999999</v>
      </c>
    </row>
    <row r="47" spans="1:21" ht="14.4" x14ac:dyDescent="0.3">
      <c r="A47" s="218" t="s">
        <v>433</v>
      </c>
      <c r="B47" s="217" t="s">
        <v>263</v>
      </c>
      <c r="C47" s="196"/>
      <c r="D47" s="197">
        <v>2.35</v>
      </c>
      <c r="E47" s="197">
        <v>0.75</v>
      </c>
      <c r="F47" s="197"/>
      <c r="G47" s="83">
        <v>1</v>
      </c>
      <c r="H47" s="198">
        <f t="shared" si="7"/>
        <v>1.7625000000000002</v>
      </c>
      <c r="I47" s="84"/>
      <c r="J47" s="148"/>
      <c r="K47" s="199" t="s">
        <v>3</v>
      </c>
      <c r="L47" s="53"/>
      <c r="M47" s="53"/>
      <c r="N47" s="53"/>
      <c r="O47" s="53">
        <f t="shared" si="10"/>
        <v>1.7625000000000002</v>
      </c>
      <c r="P47" s="53"/>
      <c r="Q47" s="53"/>
      <c r="R47" s="200"/>
      <c r="S47" s="200"/>
      <c r="T47" s="201">
        <f t="shared" si="9"/>
        <v>1.7625000000000002</v>
      </c>
    </row>
    <row r="48" spans="1:21" ht="14.4" x14ac:dyDescent="0.3">
      <c r="A48" s="218" t="s">
        <v>436</v>
      </c>
      <c r="B48" s="217" t="s">
        <v>245</v>
      </c>
      <c r="C48" s="196"/>
      <c r="D48" s="197">
        <v>1.42</v>
      </c>
      <c r="E48" s="197">
        <v>0.55000000000000004</v>
      </c>
      <c r="F48" s="197"/>
      <c r="G48" s="83">
        <v>1</v>
      </c>
      <c r="H48" s="198">
        <f t="shared" si="7"/>
        <v>0.78100000000000003</v>
      </c>
      <c r="I48" s="84"/>
      <c r="J48" s="148"/>
      <c r="K48" s="199" t="s">
        <v>3</v>
      </c>
      <c r="L48" s="53"/>
      <c r="M48" s="53"/>
      <c r="N48" s="53"/>
      <c r="O48" s="53"/>
      <c r="P48" s="53">
        <f>H48</f>
        <v>0.78100000000000003</v>
      </c>
      <c r="Q48" s="53"/>
      <c r="R48" s="200"/>
      <c r="S48" s="200"/>
      <c r="T48" s="201">
        <f t="shared" si="9"/>
        <v>0.78100000000000003</v>
      </c>
    </row>
    <row r="49" spans="1:21" ht="14.4" x14ac:dyDescent="0.3">
      <c r="A49" s="218"/>
      <c r="B49" s="217" t="s">
        <v>245</v>
      </c>
      <c r="C49" s="196"/>
      <c r="D49" s="197">
        <v>3.57</v>
      </c>
      <c r="E49" s="197">
        <v>0.85</v>
      </c>
      <c r="F49" s="197"/>
      <c r="G49" s="83">
        <v>1</v>
      </c>
      <c r="H49" s="198">
        <f t="shared" si="7"/>
        <v>3.0345</v>
      </c>
      <c r="I49" s="84"/>
      <c r="J49" s="148"/>
      <c r="K49" s="199" t="s">
        <v>3</v>
      </c>
      <c r="L49" s="53"/>
      <c r="M49" s="53"/>
      <c r="N49" s="53"/>
      <c r="O49" s="53"/>
      <c r="P49" s="53">
        <f t="shared" ref="P49:P50" si="11">H49</f>
        <v>3.0345</v>
      </c>
      <c r="Q49" s="53"/>
      <c r="R49" s="200"/>
      <c r="S49" s="200"/>
      <c r="T49" s="201">
        <f t="shared" si="9"/>
        <v>3.0345</v>
      </c>
    </row>
    <row r="50" spans="1:21" ht="14.4" x14ac:dyDescent="0.3">
      <c r="A50" s="218"/>
      <c r="B50" s="217" t="s">
        <v>245</v>
      </c>
      <c r="C50" s="196"/>
      <c r="D50" s="197">
        <v>4.0999999999999996</v>
      </c>
      <c r="E50" s="197">
        <v>0.75</v>
      </c>
      <c r="F50" s="197"/>
      <c r="G50" s="83">
        <v>1</v>
      </c>
      <c r="H50" s="198">
        <f t="shared" si="7"/>
        <v>3.0749999999999997</v>
      </c>
      <c r="I50" s="84"/>
      <c r="J50" s="148"/>
      <c r="K50" s="199" t="s">
        <v>3</v>
      </c>
      <c r="L50" s="53"/>
      <c r="M50" s="53"/>
      <c r="N50" s="53"/>
      <c r="O50" s="53"/>
      <c r="P50" s="53">
        <f t="shared" si="11"/>
        <v>3.0749999999999997</v>
      </c>
      <c r="Q50" s="53"/>
      <c r="R50" s="200"/>
      <c r="S50" s="200"/>
      <c r="T50" s="201">
        <f t="shared" si="9"/>
        <v>3.0749999999999997</v>
      </c>
    </row>
    <row r="51" spans="1:21" ht="14.4" x14ac:dyDescent="0.3">
      <c r="A51" s="218" t="s">
        <v>437</v>
      </c>
      <c r="B51" s="217" t="s">
        <v>212</v>
      </c>
      <c r="C51" s="196"/>
      <c r="D51" s="197">
        <v>1.95</v>
      </c>
      <c r="E51" s="197">
        <v>0.75</v>
      </c>
      <c r="F51" s="197"/>
      <c r="G51" s="83">
        <v>1</v>
      </c>
      <c r="H51" s="198">
        <f t="shared" si="7"/>
        <v>1.4624999999999999</v>
      </c>
      <c r="I51" s="84"/>
      <c r="J51" s="148"/>
      <c r="K51" s="199" t="s">
        <v>3</v>
      </c>
      <c r="L51" s="53"/>
      <c r="M51" s="53"/>
      <c r="N51" s="53"/>
      <c r="O51" s="53"/>
      <c r="P51" s="53">
        <f t="shared" ref="P51:P53" si="12">H51</f>
        <v>1.4624999999999999</v>
      </c>
      <c r="Q51" s="53"/>
      <c r="R51" s="200"/>
      <c r="S51" s="200"/>
      <c r="T51" s="201">
        <f t="shared" si="9"/>
        <v>1.4624999999999999</v>
      </c>
    </row>
    <row r="52" spans="1:21" ht="14.4" x14ac:dyDescent="0.3">
      <c r="A52" s="218" t="s">
        <v>438</v>
      </c>
      <c r="B52" s="217" t="s">
        <v>212</v>
      </c>
      <c r="C52" s="196"/>
      <c r="D52" s="197">
        <v>2</v>
      </c>
      <c r="E52" s="197">
        <v>0.75</v>
      </c>
      <c r="F52" s="197"/>
      <c r="G52" s="83">
        <v>1</v>
      </c>
      <c r="H52" s="198">
        <f t="shared" si="7"/>
        <v>1.5</v>
      </c>
      <c r="I52" s="84"/>
      <c r="J52" s="148"/>
      <c r="K52" s="199" t="s">
        <v>3</v>
      </c>
      <c r="L52" s="53"/>
      <c r="M52" s="53"/>
      <c r="N52" s="53"/>
      <c r="O52" s="53"/>
      <c r="P52" s="53">
        <f t="shared" si="12"/>
        <v>1.5</v>
      </c>
      <c r="Q52" s="53"/>
      <c r="R52" s="200"/>
      <c r="S52" s="200"/>
      <c r="T52" s="201">
        <f t="shared" si="9"/>
        <v>1.5</v>
      </c>
    </row>
    <row r="53" spans="1:21" ht="14.4" x14ac:dyDescent="0.3">
      <c r="A53" s="218" t="s">
        <v>439</v>
      </c>
      <c r="B53" s="217" t="s">
        <v>245</v>
      </c>
      <c r="C53" s="196"/>
      <c r="D53" s="197">
        <v>4.05</v>
      </c>
      <c r="E53" s="197">
        <v>0.75</v>
      </c>
      <c r="F53" s="197"/>
      <c r="G53" s="83">
        <v>1</v>
      </c>
      <c r="H53" s="198">
        <f t="shared" si="7"/>
        <v>3.0374999999999996</v>
      </c>
      <c r="I53" s="84"/>
      <c r="J53" s="148"/>
      <c r="K53" s="199" t="s">
        <v>3</v>
      </c>
      <c r="L53" s="53"/>
      <c r="M53" s="53"/>
      <c r="N53" s="53"/>
      <c r="O53" s="53"/>
      <c r="P53" s="53">
        <f t="shared" si="12"/>
        <v>3.0374999999999996</v>
      </c>
      <c r="Q53" s="53"/>
      <c r="R53" s="200"/>
      <c r="S53" s="200"/>
      <c r="T53" s="201">
        <f t="shared" si="9"/>
        <v>3.0374999999999996</v>
      </c>
    </row>
    <row r="54" spans="1:21" ht="14.4" x14ac:dyDescent="0.3">
      <c r="A54" s="218" t="s">
        <v>431</v>
      </c>
      <c r="B54" s="217" t="s">
        <v>245</v>
      </c>
      <c r="C54" s="196"/>
      <c r="D54" s="197">
        <v>7.01</v>
      </c>
      <c r="E54" s="197">
        <v>0.75</v>
      </c>
      <c r="F54" s="197"/>
      <c r="G54" s="83">
        <v>1</v>
      </c>
      <c r="H54" s="198">
        <f t="shared" si="7"/>
        <v>5.2575000000000003</v>
      </c>
      <c r="I54" s="84"/>
      <c r="J54" s="148"/>
      <c r="K54" s="199" t="s">
        <v>3</v>
      </c>
      <c r="L54" s="53"/>
      <c r="M54" s="53"/>
      <c r="N54" s="53"/>
      <c r="O54" s="53"/>
      <c r="P54" s="53"/>
      <c r="Q54" s="53">
        <f>H54</f>
        <v>5.2575000000000003</v>
      </c>
      <c r="R54" s="200"/>
      <c r="S54" s="200"/>
      <c r="T54" s="201">
        <f t="shared" si="9"/>
        <v>5.2575000000000003</v>
      </c>
    </row>
    <row r="55" spans="1:21" ht="14.4" x14ac:dyDescent="0.3">
      <c r="A55" s="218" t="s">
        <v>432</v>
      </c>
      <c r="B55" s="217" t="s">
        <v>300</v>
      </c>
      <c r="C55" s="196"/>
      <c r="D55" s="197">
        <v>1.99</v>
      </c>
      <c r="E55" s="197">
        <v>0.75</v>
      </c>
      <c r="F55" s="197"/>
      <c r="G55" s="83">
        <v>1</v>
      </c>
      <c r="H55" s="198">
        <f t="shared" si="7"/>
        <v>1.4924999999999999</v>
      </c>
      <c r="I55" s="84"/>
      <c r="J55" s="148"/>
      <c r="K55" s="199" t="s">
        <v>3</v>
      </c>
      <c r="L55" s="53"/>
      <c r="M55" s="53"/>
      <c r="N55" s="53"/>
      <c r="O55" s="53"/>
      <c r="P55" s="53"/>
      <c r="Q55" s="53">
        <f>H55</f>
        <v>1.4924999999999999</v>
      </c>
      <c r="R55" s="200"/>
      <c r="S55" s="200"/>
      <c r="T55" s="201">
        <f t="shared" si="9"/>
        <v>1.4924999999999999</v>
      </c>
    </row>
    <row r="56" spans="1:21" ht="14.4" x14ac:dyDescent="0.3">
      <c r="A56" s="218" t="s">
        <v>431</v>
      </c>
      <c r="B56" s="217" t="s">
        <v>245</v>
      </c>
      <c r="C56" s="196"/>
      <c r="D56" s="197">
        <v>1.75</v>
      </c>
      <c r="E56" s="197">
        <v>0.75</v>
      </c>
      <c r="F56" s="197"/>
      <c r="G56" s="83">
        <v>1</v>
      </c>
      <c r="H56" s="198">
        <f t="shared" si="7"/>
        <v>1.3125</v>
      </c>
      <c r="I56" s="84"/>
      <c r="J56" s="148"/>
      <c r="K56" s="199" t="s">
        <v>3</v>
      </c>
      <c r="L56" s="53"/>
      <c r="M56" s="53"/>
      <c r="N56" s="53"/>
      <c r="O56" s="53"/>
      <c r="P56" s="53"/>
      <c r="Q56" s="53"/>
      <c r="R56" s="200">
        <f>H56</f>
        <v>1.3125</v>
      </c>
      <c r="S56" s="200"/>
      <c r="T56" s="201">
        <f t="shared" si="9"/>
        <v>1.3125</v>
      </c>
    </row>
    <row r="57" spans="1:21" ht="14.4" x14ac:dyDescent="0.3">
      <c r="A57" s="218" t="s">
        <v>432</v>
      </c>
      <c r="B57" s="217" t="s">
        <v>331</v>
      </c>
      <c r="C57" s="196"/>
      <c r="D57" s="197">
        <v>1.98</v>
      </c>
      <c r="E57" s="197">
        <v>0.75</v>
      </c>
      <c r="F57" s="197"/>
      <c r="G57" s="83">
        <v>1</v>
      </c>
      <c r="H57" s="198">
        <f t="shared" si="7"/>
        <v>1.4849999999999999</v>
      </c>
      <c r="I57" s="84"/>
      <c r="J57" s="148"/>
      <c r="K57" s="199" t="s">
        <v>3</v>
      </c>
      <c r="L57" s="53"/>
      <c r="M57" s="53"/>
      <c r="N57" s="53"/>
      <c r="O57" s="53"/>
      <c r="P57" s="53"/>
      <c r="Q57" s="53"/>
      <c r="R57" s="200">
        <f t="shared" ref="R57:R58" si="13">H57</f>
        <v>1.4849999999999999</v>
      </c>
      <c r="S57" s="200"/>
      <c r="T57" s="201">
        <f t="shared" si="9"/>
        <v>1.4849999999999999</v>
      </c>
    </row>
    <row r="58" spans="1:21" ht="14.4" x14ac:dyDescent="0.3">
      <c r="A58" s="218" t="s">
        <v>433</v>
      </c>
      <c r="B58" s="217" t="s">
        <v>263</v>
      </c>
      <c r="C58" s="196"/>
      <c r="D58" s="197">
        <v>2.0499999999999998</v>
      </c>
      <c r="E58" s="197">
        <v>0.6</v>
      </c>
      <c r="F58" s="197"/>
      <c r="G58" s="83">
        <v>1</v>
      </c>
      <c r="H58" s="198">
        <f t="shared" si="7"/>
        <v>1.2299999999999998</v>
      </c>
      <c r="I58" s="84"/>
      <c r="J58" s="148"/>
      <c r="K58" s="199" t="s">
        <v>3</v>
      </c>
      <c r="L58" s="53"/>
      <c r="M58" s="53"/>
      <c r="N58" s="53"/>
      <c r="O58" s="53"/>
      <c r="P58" s="53"/>
      <c r="Q58" s="53"/>
      <c r="R58" s="200">
        <f t="shared" si="13"/>
        <v>1.2299999999999998</v>
      </c>
      <c r="S58" s="200"/>
      <c r="T58" s="201">
        <f t="shared" si="9"/>
        <v>1.2299999999999998</v>
      </c>
    </row>
    <row r="59" spans="1:21" ht="14.4" x14ac:dyDescent="0.3">
      <c r="A59" s="218"/>
      <c r="B59" s="527" t="s">
        <v>212</v>
      </c>
      <c r="C59" s="196"/>
      <c r="D59" s="197">
        <v>1.88</v>
      </c>
      <c r="E59" s="197">
        <v>0.75</v>
      </c>
      <c r="F59" s="197"/>
      <c r="G59" s="83">
        <v>1</v>
      </c>
      <c r="H59" s="375">
        <f t="shared" si="7"/>
        <v>1.41</v>
      </c>
      <c r="I59" s="84"/>
      <c r="J59" s="148"/>
      <c r="K59" s="199" t="s">
        <v>3</v>
      </c>
      <c r="L59" s="53"/>
      <c r="M59" s="53"/>
      <c r="N59" s="53"/>
      <c r="O59" s="53"/>
      <c r="P59" s="53"/>
      <c r="Q59" s="53"/>
      <c r="R59" s="200"/>
      <c r="S59" s="200">
        <f>H59</f>
        <v>1.41</v>
      </c>
      <c r="T59" s="201">
        <f t="shared" si="9"/>
        <v>1.41</v>
      </c>
    </row>
    <row r="60" spans="1:21" ht="14.4" x14ac:dyDescent="0.25">
      <c r="B60" s="216" t="s">
        <v>27</v>
      </c>
      <c r="C60" s="203"/>
      <c r="D60" s="204"/>
      <c r="E60" s="205"/>
      <c r="F60" s="205"/>
      <c r="G60" s="206"/>
      <c r="H60" s="205"/>
      <c r="I60" s="205"/>
      <c r="J60" s="205"/>
      <c r="K60" s="207" t="s">
        <v>3</v>
      </c>
      <c r="L60" s="208"/>
      <c r="M60" s="208"/>
      <c r="N60" s="208"/>
      <c r="O60" s="208"/>
      <c r="P60" s="208"/>
      <c r="Q60" s="208"/>
      <c r="R60" s="208"/>
      <c r="S60" s="212"/>
      <c r="T60" s="208">
        <f>SUM(T39:T59)</f>
        <v>41.377299999999991</v>
      </c>
      <c r="U60" s="1"/>
    </row>
    <row r="61" spans="1:21" ht="40.049999999999997" customHeight="1" x14ac:dyDescent="0.3">
      <c r="B61" s="380" t="s">
        <v>464</v>
      </c>
      <c r="C61" s="209"/>
      <c r="D61" s="209"/>
      <c r="E61" s="209"/>
      <c r="F61" s="209"/>
      <c r="G61" s="209"/>
      <c r="H61" s="209"/>
      <c r="I61" s="209"/>
      <c r="J61" s="209"/>
      <c r="K61" s="209"/>
      <c r="L61" s="376" t="s">
        <v>167</v>
      </c>
      <c r="M61" s="376" t="s">
        <v>424</v>
      </c>
      <c r="N61" s="376" t="s">
        <v>426</v>
      </c>
      <c r="O61" s="376" t="s">
        <v>425</v>
      </c>
      <c r="P61" s="376" t="s">
        <v>427</v>
      </c>
      <c r="Q61" s="376" t="s">
        <v>428</v>
      </c>
      <c r="R61" s="376" t="s">
        <v>429</v>
      </c>
      <c r="S61" s="164" t="s">
        <v>616</v>
      </c>
      <c r="T61" s="185"/>
    </row>
    <row r="62" spans="1:21" ht="14.4" x14ac:dyDescent="0.25">
      <c r="B62" s="835" t="s">
        <v>156</v>
      </c>
      <c r="C62" s="189" t="s">
        <v>0</v>
      </c>
      <c r="D62" s="190" t="s">
        <v>12</v>
      </c>
      <c r="E62" s="190" t="s">
        <v>4</v>
      </c>
      <c r="F62" s="190" t="s">
        <v>2</v>
      </c>
      <c r="G62" s="190" t="s">
        <v>6</v>
      </c>
      <c r="H62" s="190" t="s">
        <v>5</v>
      </c>
      <c r="I62" s="190" t="s">
        <v>35</v>
      </c>
      <c r="J62" s="191" t="s">
        <v>14</v>
      </c>
      <c r="K62" s="883" t="s">
        <v>154</v>
      </c>
      <c r="L62" s="831" t="s">
        <v>50</v>
      </c>
      <c r="M62" s="830" t="s">
        <v>93</v>
      </c>
      <c r="N62" s="830" t="s">
        <v>94</v>
      </c>
      <c r="O62" s="830" t="s">
        <v>95</v>
      </c>
      <c r="P62" s="830" t="s">
        <v>96</v>
      </c>
      <c r="Q62" s="830" t="s">
        <v>97</v>
      </c>
      <c r="R62" s="830" t="s">
        <v>98</v>
      </c>
      <c r="S62" s="830" t="s">
        <v>646</v>
      </c>
      <c r="T62" s="833" t="s">
        <v>8</v>
      </c>
    </row>
    <row r="63" spans="1:21" ht="14.4" x14ac:dyDescent="0.3">
      <c r="B63" s="882"/>
      <c r="C63" s="192" t="s">
        <v>9</v>
      </c>
      <c r="D63" s="193" t="s">
        <v>10</v>
      </c>
      <c r="E63" s="193" t="s">
        <v>10</v>
      </c>
      <c r="F63" s="193" t="s">
        <v>10</v>
      </c>
      <c r="G63" s="192" t="s">
        <v>9</v>
      </c>
      <c r="H63" s="192" t="s">
        <v>9</v>
      </c>
      <c r="I63" s="192" t="s">
        <v>9</v>
      </c>
      <c r="J63" s="194" t="s">
        <v>15</v>
      </c>
      <c r="K63" s="884"/>
      <c r="L63" s="830"/>
      <c r="M63" s="831"/>
      <c r="N63" s="831"/>
      <c r="O63" s="831"/>
      <c r="P63" s="831"/>
      <c r="Q63" s="831"/>
      <c r="R63" s="831"/>
      <c r="S63" s="831"/>
      <c r="T63" s="833"/>
    </row>
    <row r="64" spans="1:21" ht="14.4" x14ac:dyDescent="0.3">
      <c r="A64" s="224" t="s">
        <v>448</v>
      </c>
      <c r="B64" s="217" t="s">
        <v>454</v>
      </c>
      <c r="C64" s="196"/>
      <c r="D64" s="197">
        <v>4.3600000000000003</v>
      </c>
      <c r="E64" s="197">
        <v>0.7</v>
      </c>
      <c r="F64" s="197"/>
      <c r="G64" s="83">
        <v>1</v>
      </c>
      <c r="H64" s="198">
        <f>D64*E64*G64</f>
        <v>3.052</v>
      </c>
      <c r="I64" s="84"/>
      <c r="J64" s="148"/>
      <c r="K64" s="199" t="s">
        <v>3</v>
      </c>
      <c r="L64" s="53"/>
      <c r="M64" s="53"/>
      <c r="N64" s="53"/>
      <c r="O64" s="53">
        <f>H64</f>
        <v>3.052</v>
      </c>
      <c r="P64" s="53"/>
      <c r="Q64" s="53"/>
      <c r="R64" s="200"/>
      <c r="S64" s="200"/>
      <c r="T64" s="201">
        <f>SUM(L64:R64)</f>
        <v>3.052</v>
      </c>
    </row>
    <row r="65" spans="1:20" ht="14.4" x14ac:dyDescent="0.3">
      <c r="A65" s="224" t="s">
        <v>448</v>
      </c>
      <c r="B65" s="217" t="s">
        <v>454</v>
      </c>
      <c r="C65" s="196"/>
      <c r="D65" s="197">
        <v>0.57999999999999996</v>
      </c>
      <c r="E65" s="197">
        <v>0.25</v>
      </c>
      <c r="F65" s="197"/>
      <c r="G65" s="83">
        <v>1</v>
      </c>
      <c r="H65" s="198">
        <f>D65*E65*G65</f>
        <v>0.14499999999999999</v>
      </c>
      <c r="I65" s="84"/>
      <c r="J65" s="148"/>
      <c r="K65" s="199" t="s">
        <v>3</v>
      </c>
      <c r="L65" s="53"/>
      <c r="M65" s="53"/>
      <c r="N65" s="53"/>
      <c r="O65" s="53">
        <f t="shared" ref="O65:O67" si="14">H65</f>
        <v>0.14499999999999999</v>
      </c>
      <c r="P65" s="53"/>
      <c r="Q65" s="53"/>
      <c r="R65" s="200"/>
      <c r="S65" s="200"/>
      <c r="T65" s="201">
        <f>SUM(L65:R65)</f>
        <v>0.14499999999999999</v>
      </c>
    </row>
    <row r="66" spans="1:20" ht="14.4" x14ac:dyDescent="0.3">
      <c r="A66" s="224" t="s">
        <v>421</v>
      </c>
      <c r="B66" s="217" t="s">
        <v>245</v>
      </c>
      <c r="C66" s="196"/>
      <c r="D66" s="197">
        <v>2.85</v>
      </c>
      <c r="E66" s="197">
        <v>0.75</v>
      </c>
      <c r="F66" s="197"/>
      <c r="G66" s="83">
        <v>1</v>
      </c>
      <c r="H66" s="198">
        <f t="shared" ref="H66:H74" si="15">D66*E66*G66</f>
        <v>2.1375000000000002</v>
      </c>
      <c r="I66" s="84"/>
      <c r="J66" s="148"/>
      <c r="K66" s="199" t="s">
        <v>3</v>
      </c>
      <c r="L66" s="53"/>
      <c r="M66" s="53"/>
      <c r="N66" s="53"/>
      <c r="O66" s="53">
        <f t="shared" si="14"/>
        <v>2.1375000000000002</v>
      </c>
      <c r="P66" s="53"/>
      <c r="Q66" s="53"/>
      <c r="R66" s="200"/>
      <c r="S66" s="200"/>
      <c r="T66" s="201">
        <f>SUM(L66:R66)</f>
        <v>2.1375000000000002</v>
      </c>
    </row>
    <row r="67" spans="1:20" ht="14.4" x14ac:dyDescent="0.3">
      <c r="A67" s="224" t="s">
        <v>422</v>
      </c>
      <c r="B67" s="217" t="s">
        <v>454</v>
      </c>
      <c r="C67" s="196"/>
      <c r="D67" s="197">
        <v>2.4500000000000002</v>
      </c>
      <c r="E67" s="197">
        <v>0.75</v>
      </c>
      <c r="F67" s="197"/>
      <c r="G67" s="83">
        <v>1</v>
      </c>
      <c r="H67" s="198">
        <f t="shared" si="15"/>
        <v>1.8375000000000001</v>
      </c>
      <c r="I67" s="84"/>
      <c r="J67" s="148"/>
      <c r="K67" s="199" t="s">
        <v>3</v>
      </c>
      <c r="L67" s="53"/>
      <c r="M67" s="53"/>
      <c r="N67" s="53"/>
      <c r="O67" s="53">
        <f t="shared" si="14"/>
        <v>1.8375000000000001</v>
      </c>
      <c r="P67" s="53"/>
      <c r="Q67" s="53"/>
      <c r="R67" s="200"/>
      <c r="S67" s="200"/>
      <c r="T67" s="201">
        <f>SUM(L67:R67)</f>
        <v>1.8375000000000001</v>
      </c>
    </row>
    <row r="68" spans="1:20" ht="14.4" x14ac:dyDescent="0.3">
      <c r="A68" s="224" t="s">
        <v>448</v>
      </c>
      <c r="B68" s="217" t="s">
        <v>454</v>
      </c>
      <c r="C68" s="196"/>
      <c r="D68" s="197">
        <v>9.07</v>
      </c>
      <c r="E68" s="197">
        <v>0.85</v>
      </c>
      <c r="F68" s="197"/>
      <c r="G68" s="83">
        <v>1</v>
      </c>
      <c r="H68" s="198">
        <f t="shared" si="15"/>
        <v>7.7095000000000002</v>
      </c>
      <c r="I68" s="84"/>
      <c r="J68" s="148"/>
      <c r="K68" s="199" t="s">
        <v>3</v>
      </c>
      <c r="L68" s="53"/>
      <c r="M68" s="53"/>
      <c r="N68" s="53"/>
      <c r="O68" s="53"/>
      <c r="P68" s="53">
        <f>H68</f>
        <v>7.7095000000000002</v>
      </c>
      <c r="Q68" s="53"/>
      <c r="R68" s="200"/>
      <c r="S68" s="200"/>
      <c r="T68" s="201">
        <f t="shared" ref="T68:T74" si="16">SUM(L68:R68)</f>
        <v>7.7095000000000002</v>
      </c>
    </row>
    <row r="69" spans="1:20" ht="14.4" x14ac:dyDescent="0.3">
      <c r="A69" s="224" t="s">
        <v>422</v>
      </c>
      <c r="B69" s="217" t="s">
        <v>454</v>
      </c>
      <c r="C69" s="196"/>
      <c r="D69" s="197">
        <v>3.75</v>
      </c>
      <c r="E69" s="197">
        <v>0.85</v>
      </c>
      <c r="F69" s="197"/>
      <c r="G69" s="83">
        <v>1</v>
      </c>
      <c r="H69" s="198">
        <f t="shared" si="15"/>
        <v>3.1875</v>
      </c>
      <c r="I69" s="84"/>
      <c r="J69" s="148"/>
      <c r="K69" s="199" t="s">
        <v>3</v>
      </c>
      <c r="L69" s="53"/>
      <c r="M69" s="53"/>
      <c r="N69" s="53"/>
      <c r="O69" s="53"/>
      <c r="P69" s="53">
        <f>H69</f>
        <v>3.1875</v>
      </c>
      <c r="Q69" s="53"/>
      <c r="R69" s="200"/>
      <c r="S69" s="200"/>
      <c r="T69" s="201">
        <f t="shared" si="16"/>
        <v>3.1875</v>
      </c>
    </row>
    <row r="70" spans="1:20" ht="14.4" x14ac:dyDescent="0.3">
      <c r="A70" s="218" t="s">
        <v>448</v>
      </c>
      <c r="B70" s="199" t="s">
        <v>471</v>
      </c>
      <c r="C70" s="196"/>
      <c r="D70" s="197">
        <v>4.38</v>
      </c>
      <c r="E70" s="197">
        <v>0.75</v>
      </c>
      <c r="F70" s="197"/>
      <c r="G70" s="83">
        <v>1</v>
      </c>
      <c r="H70" s="198">
        <f t="shared" si="15"/>
        <v>3.2850000000000001</v>
      </c>
      <c r="I70" s="84"/>
      <c r="J70" s="148"/>
      <c r="K70" s="199" t="s">
        <v>3</v>
      </c>
      <c r="L70" s="53"/>
      <c r="M70" s="53"/>
      <c r="N70" s="53"/>
      <c r="O70" s="53"/>
      <c r="P70" s="53"/>
      <c r="Q70" s="53"/>
      <c r="R70" s="200">
        <f>H70</f>
        <v>3.2850000000000001</v>
      </c>
      <c r="S70" s="200"/>
      <c r="T70" s="201">
        <f t="shared" si="16"/>
        <v>3.2850000000000001</v>
      </c>
    </row>
    <row r="71" spans="1:20" ht="14.4" x14ac:dyDescent="0.3">
      <c r="A71" s="218" t="s">
        <v>421</v>
      </c>
      <c r="B71" s="199" t="s">
        <v>454</v>
      </c>
      <c r="C71" s="196"/>
      <c r="D71" s="197">
        <v>4.58</v>
      </c>
      <c r="E71" s="197">
        <v>0.6</v>
      </c>
      <c r="F71" s="197"/>
      <c r="G71" s="83">
        <v>1</v>
      </c>
      <c r="H71" s="198">
        <f t="shared" si="15"/>
        <v>2.7479999999999998</v>
      </c>
      <c r="I71" s="84"/>
      <c r="J71" s="148"/>
      <c r="K71" s="199" t="s">
        <v>3</v>
      </c>
      <c r="L71" s="53"/>
      <c r="M71" s="53"/>
      <c r="N71" s="53"/>
      <c r="O71" s="53"/>
      <c r="P71" s="53"/>
      <c r="Q71" s="53"/>
      <c r="R71" s="200">
        <f>H71</f>
        <v>2.7479999999999998</v>
      </c>
      <c r="S71" s="200"/>
      <c r="T71" s="201">
        <f t="shared" si="16"/>
        <v>2.7479999999999998</v>
      </c>
    </row>
    <row r="72" spans="1:20" ht="14.4" x14ac:dyDescent="0.3">
      <c r="A72" s="218" t="s">
        <v>421</v>
      </c>
      <c r="B72" s="199" t="s">
        <v>454</v>
      </c>
      <c r="C72" s="196"/>
      <c r="D72" s="197">
        <v>1.03</v>
      </c>
      <c r="E72" s="197">
        <v>0.25</v>
      </c>
      <c r="F72" s="197"/>
      <c r="G72" s="83">
        <v>1</v>
      </c>
      <c r="H72" s="198">
        <f t="shared" si="15"/>
        <v>0.25750000000000001</v>
      </c>
      <c r="I72" s="84"/>
      <c r="J72" s="148"/>
      <c r="K72" s="199" t="s">
        <v>3</v>
      </c>
      <c r="L72" s="53"/>
      <c r="M72" s="53"/>
      <c r="N72" s="53"/>
      <c r="O72" s="53"/>
      <c r="P72" s="53"/>
      <c r="Q72" s="53"/>
      <c r="R72" s="200">
        <f t="shared" ref="R72:R74" si="17">H72</f>
        <v>0.25750000000000001</v>
      </c>
      <c r="S72" s="200"/>
      <c r="T72" s="201">
        <f t="shared" si="16"/>
        <v>0.25750000000000001</v>
      </c>
    </row>
    <row r="73" spans="1:20" ht="14.4" x14ac:dyDescent="0.3">
      <c r="A73" s="218" t="s">
        <v>422</v>
      </c>
      <c r="B73" s="199" t="s">
        <v>454</v>
      </c>
      <c r="C73" s="196"/>
      <c r="D73" s="197">
        <v>2.4500000000000002</v>
      </c>
      <c r="E73" s="197">
        <v>0.75</v>
      </c>
      <c r="F73" s="197"/>
      <c r="G73" s="83">
        <v>1</v>
      </c>
      <c r="H73" s="198">
        <f t="shared" si="15"/>
        <v>1.8375000000000001</v>
      </c>
      <c r="I73" s="84"/>
      <c r="J73" s="148"/>
      <c r="K73" s="199" t="s">
        <v>3</v>
      </c>
      <c r="L73" s="53"/>
      <c r="M73" s="53"/>
      <c r="N73" s="53"/>
      <c r="O73" s="53"/>
      <c r="P73" s="53"/>
      <c r="Q73" s="53"/>
      <c r="R73" s="200">
        <f t="shared" si="17"/>
        <v>1.8375000000000001</v>
      </c>
      <c r="S73" s="200"/>
      <c r="T73" s="201">
        <f t="shared" si="16"/>
        <v>1.8375000000000001</v>
      </c>
    </row>
    <row r="74" spans="1:20" ht="14.4" x14ac:dyDescent="0.3">
      <c r="A74" s="218" t="s">
        <v>423</v>
      </c>
      <c r="B74" s="199" t="s">
        <v>245</v>
      </c>
      <c r="C74" s="196"/>
      <c r="D74" s="197">
        <v>4.32</v>
      </c>
      <c r="E74" s="197">
        <v>0.75</v>
      </c>
      <c r="F74" s="197"/>
      <c r="G74" s="83">
        <v>1</v>
      </c>
      <c r="H74" s="198">
        <f t="shared" si="15"/>
        <v>3.24</v>
      </c>
      <c r="I74" s="84"/>
      <c r="J74" s="148"/>
      <c r="K74" s="199" t="s">
        <v>3</v>
      </c>
      <c r="L74" s="53"/>
      <c r="M74" s="53"/>
      <c r="N74" s="53"/>
      <c r="O74" s="53"/>
      <c r="P74" s="53"/>
      <c r="Q74" s="53"/>
      <c r="R74" s="200">
        <f t="shared" si="17"/>
        <v>3.24</v>
      </c>
      <c r="S74" s="200"/>
      <c r="T74" s="201">
        <f t="shared" si="16"/>
        <v>3.24</v>
      </c>
    </row>
    <row r="75" spans="1:20" ht="14.4" x14ac:dyDescent="0.25">
      <c r="B75" s="216" t="s">
        <v>27</v>
      </c>
      <c r="C75" s="203"/>
      <c r="D75" s="204"/>
      <c r="E75" s="205"/>
      <c r="F75" s="205"/>
      <c r="G75" s="206"/>
      <c r="H75" s="205"/>
      <c r="I75" s="205"/>
      <c r="J75" s="205"/>
      <c r="K75" s="207" t="s">
        <v>3</v>
      </c>
      <c r="L75" s="208"/>
      <c r="M75" s="208"/>
      <c r="N75" s="208"/>
      <c r="O75" s="208"/>
      <c r="P75" s="208"/>
      <c r="Q75" s="208"/>
      <c r="R75" s="208"/>
      <c r="S75" s="212"/>
      <c r="T75" s="208">
        <f>SUM(T64:T74)</f>
        <v>29.437000000000005</v>
      </c>
    </row>
    <row r="76" spans="1:20" ht="40.049999999999997" customHeight="1" x14ac:dyDescent="0.3">
      <c r="B76" s="380" t="s">
        <v>463</v>
      </c>
      <c r="C76" s="209"/>
      <c r="D76" s="209"/>
      <c r="E76" s="209"/>
      <c r="F76" s="209"/>
      <c r="G76" s="209"/>
      <c r="H76" s="209"/>
      <c r="I76" s="209"/>
      <c r="J76" s="209"/>
      <c r="K76" s="209"/>
      <c r="L76" s="376" t="s">
        <v>167</v>
      </c>
      <c r="M76" s="376" t="s">
        <v>424</v>
      </c>
      <c r="N76" s="376" t="s">
        <v>426</v>
      </c>
      <c r="O76" s="376" t="s">
        <v>425</v>
      </c>
      <c r="P76" s="376" t="s">
        <v>427</v>
      </c>
      <c r="Q76" s="376" t="s">
        <v>428</v>
      </c>
      <c r="R76" s="376" t="s">
        <v>429</v>
      </c>
      <c r="S76" s="164" t="s">
        <v>616</v>
      </c>
      <c r="T76" s="185"/>
    </row>
    <row r="77" spans="1:20" ht="14.4" customHeight="1" x14ac:dyDescent="0.25">
      <c r="B77" s="835" t="s">
        <v>156</v>
      </c>
      <c r="C77" s="189" t="s">
        <v>0</v>
      </c>
      <c r="D77" s="190" t="s">
        <v>12</v>
      </c>
      <c r="E77" s="190" t="s">
        <v>4</v>
      </c>
      <c r="F77" s="190" t="s">
        <v>2</v>
      </c>
      <c r="G77" s="190" t="s">
        <v>6</v>
      </c>
      <c r="H77" s="190" t="s">
        <v>5</v>
      </c>
      <c r="I77" s="190" t="s">
        <v>35</v>
      </c>
      <c r="J77" s="191" t="s">
        <v>14</v>
      </c>
      <c r="K77" s="883" t="s">
        <v>154</v>
      </c>
      <c r="L77" s="831" t="s">
        <v>50</v>
      </c>
      <c r="M77" s="830" t="s">
        <v>93</v>
      </c>
      <c r="N77" s="830" t="s">
        <v>94</v>
      </c>
      <c r="O77" s="830" t="s">
        <v>95</v>
      </c>
      <c r="P77" s="830" t="s">
        <v>96</v>
      </c>
      <c r="Q77" s="830" t="s">
        <v>97</v>
      </c>
      <c r="R77" s="830" t="s">
        <v>98</v>
      </c>
      <c r="S77" s="830" t="s">
        <v>646</v>
      </c>
      <c r="T77" s="833" t="s">
        <v>8</v>
      </c>
    </row>
    <row r="78" spans="1:20" ht="14.4" x14ac:dyDescent="0.3">
      <c r="B78" s="882"/>
      <c r="C78" s="192" t="s">
        <v>9</v>
      </c>
      <c r="D78" s="193" t="s">
        <v>10</v>
      </c>
      <c r="E78" s="193" t="s">
        <v>10</v>
      </c>
      <c r="F78" s="193" t="s">
        <v>10</v>
      </c>
      <c r="G78" s="192" t="s">
        <v>9</v>
      </c>
      <c r="H78" s="192" t="s">
        <v>9</v>
      </c>
      <c r="I78" s="192" t="s">
        <v>9</v>
      </c>
      <c r="J78" s="194" t="s">
        <v>15</v>
      </c>
      <c r="K78" s="884"/>
      <c r="L78" s="830"/>
      <c r="M78" s="831"/>
      <c r="N78" s="831"/>
      <c r="O78" s="831"/>
      <c r="P78" s="831"/>
      <c r="Q78" s="831"/>
      <c r="R78" s="831"/>
      <c r="S78" s="831"/>
      <c r="T78" s="833"/>
    </row>
    <row r="79" spans="1:20" ht="14.4" x14ac:dyDescent="0.3">
      <c r="A79" s="224" t="s">
        <v>421</v>
      </c>
      <c r="B79" s="217" t="s">
        <v>459</v>
      </c>
      <c r="C79" s="196"/>
      <c r="D79" s="197">
        <v>2.95</v>
      </c>
      <c r="E79" s="197">
        <v>0.75</v>
      </c>
      <c r="F79" s="197"/>
      <c r="G79" s="83">
        <v>1</v>
      </c>
      <c r="H79" s="198">
        <f>D79*E79*G79</f>
        <v>2.2125000000000004</v>
      </c>
      <c r="I79" s="84"/>
      <c r="J79" s="148"/>
      <c r="K79" s="199" t="s">
        <v>3</v>
      </c>
      <c r="L79" s="53"/>
      <c r="M79" s="53"/>
      <c r="N79" s="53"/>
      <c r="O79" s="53">
        <f>H79</f>
        <v>2.2125000000000004</v>
      </c>
      <c r="P79" s="53"/>
      <c r="Q79" s="53"/>
      <c r="R79" s="200"/>
      <c r="S79" s="200"/>
      <c r="T79" s="201">
        <f>SUM(L79:R79)</f>
        <v>2.2125000000000004</v>
      </c>
    </row>
    <row r="80" spans="1:20" ht="14.4" x14ac:dyDescent="0.3">
      <c r="A80" s="218" t="s">
        <v>448</v>
      </c>
      <c r="B80" s="217" t="s">
        <v>454</v>
      </c>
      <c r="C80" s="196"/>
      <c r="D80" s="197">
        <v>3.43</v>
      </c>
      <c r="E80" s="197">
        <v>0.6</v>
      </c>
      <c r="F80" s="197"/>
      <c r="G80" s="83">
        <v>1</v>
      </c>
      <c r="H80" s="198">
        <f>D80*E80*G80</f>
        <v>2.0579999999999998</v>
      </c>
      <c r="I80" s="84"/>
      <c r="J80" s="148"/>
      <c r="K80" s="199" t="s">
        <v>3</v>
      </c>
      <c r="L80" s="53"/>
      <c r="M80" s="53"/>
      <c r="N80" s="53"/>
      <c r="O80" s="53"/>
      <c r="P80" s="53"/>
      <c r="Q80" s="53">
        <f>H80</f>
        <v>2.0579999999999998</v>
      </c>
      <c r="R80" s="200"/>
      <c r="S80" s="200"/>
      <c r="T80" s="201">
        <f>SUM(L80:R80)</f>
        <v>2.0579999999999998</v>
      </c>
    </row>
    <row r="81" spans="1:21" ht="14.4" x14ac:dyDescent="0.3">
      <c r="A81" s="218" t="s">
        <v>448</v>
      </c>
      <c r="B81" s="217" t="s">
        <v>454</v>
      </c>
      <c r="C81" s="196"/>
      <c r="D81" s="197">
        <v>0.46</v>
      </c>
      <c r="E81" s="197">
        <v>0.23</v>
      </c>
      <c r="F81" s="197"/>
      <c r="G81" s="83">
        <v>1</v>
      </c>
      <c r="H81" s="198">
        <f>D81*E81*G81</f>
        <v>0.10580000000000001</v>
      </c>
      <c r="I81" s="84"/>
      <c r="J81" s="148"/>
      <c r="K81" s="199" t="s">
        <v>3</v>
      </c>
      <c r="L81" s="53"/>
      <c r="M81" s="53"/>
      <c r="N81" s="53"/>
      <c r="O81" s="53"/>
      <c r="P81" s="53"/>
      <c r="Q81" s="53">
        <f t="shared" ref="Q81:Q82" si="18">H81</f>
        <v>0.10580000000000001</v>
      </c>
      <c r="R81" s="200"/>
      <c r="S81" s="200"/>
      <c r="T81" s="201">
        <f>SUM(L81:R81)</f>
        <v>0.10580000000000001</v>
      </c>
    </row>
    <row r="82" spans="1:21" ht="14.4" x14ac:dyDescent="0.3">
      <c r="A82" s="218" t="s">
        <v>421</v>
      </c>
      <c r="B82" s="217" t="s">
        <v>454</v>
      </c>
      <c r="C82" s="196"/>
      <c r="D82" s="197">
        <v>6</v>
      </c>
      <c r="E82" s="197">
        <v>0.75</v>
      </c>
      <c r="F82" s="197"/>
      <c r="G82" s="83">
        <v>1</v>
      </c>
      <c r="H82" s="198">
        <f t="shared" ref="H82" si="19">D82*E82*G82</f>
        <v>4.5</v>
      </c>
      <c r="I82" s="84"/>
      <c r="J82" s="148"/>
      <c r="K82" s="199" t="s">
        <v>3</v>
      </c>
      <c r="L82" s="53"/>
      <c r="M82" s="53"/>
      <c r="N82" s="53"/>
      <c r="O82" s="53"/>
      <c r="P82" s="53"/>
      <c r="Q82" s="53">
        <f t="shared" si="18"/>
        <v>4.5</v>
      </c>
      <c r="R82" s="200"/>
      <c r="S82" s="200"/>
      <c r="T82" s="201">
        <f>SUM(L82:R82)</f>
        <v>4.5</v>
      </c>
    </row>
    <row r="83" spans="1:21" ht="14.4" x14ac:dyDescent="0.25">
      <c r="B83" s="216" t="s">
        <v>27</v>
      </c>
      <c r="C83" s="203"/>
      <c r="D83" s="204"/>
      <c r="E83" s="205"/>
      <c r="F83" s="205"/>
      <c r="G83" s="206"/>
      <c r="H83" s="205"/>
      <c r="I83" s="205"/>
      <c r="J83" s="205"/>
      <c r="K83" s="207" t="s">
        <v>3</v>
      </c>
      <c r="L83" s="208"/>
      <c r="M83" s="208"/>
      <c r="N83" s="208"/>
      <c r="O83" s="208"/>
      <c r="P83" s="208"/>
      <c r="Q83" s="208"/>
      <c r="R83" s="208"/>
      <c r="S83" s="208"/>
      <c r="T83" s="208">
        <f>SUM(T75:T82)</f>
        <v>38.313300000000005</v>
      </c>
    </row>
    <row r="84" spans="1:21" ht="14.4" x14ac:dyDescent="0.25">
      <c r="B84" s="216"/>
      <c r="C84" s="203"/>
      <c r="D84" s="204"/>
      <c r="E84" s="205"/>
      <c r="F84" s="205"/>
      <c r="G84" s="206"/>
      <c r="H84" s="205"/>
      <c r="I84" s="205"/>
      <c r="J84" s="205"/>
      <c r="K84" s="207"/>
      <c r="L84" s="208"/>
      <c r="M84" s="208"/>
      <c r="N84" s="208"/>
      <c r="O84" s="208"/>
      <c r="P84" s="208"/>
      <c r="Q84" s="208"/>
      <c r="R84" s="208"/>
      <c r="S84" s="212"/>
      <c r="T84" s="208"/>
    </row>
    <row r="85" spans="1:21" ht="40.049999999999997" customHeight="1" x14ac:dyDescent="0.25">
      <c r="B85" s="380" t="s">
        <v>469</v>
      </c>
      <c r="C85" s="210"/>
      <c r="D85" s="211"/>
      <c r="E85" s="12"/>
      <c r="F85" s="12"/>
      <c r="G85" s="215"/>
      <c r="H85" s="12"/>
      <c r="I85" s="12"/>
      <c r="J85" s="12"/>
      <c r="K85" s="14"/>
      <c r="L85" s="376" t="s">
        <v>167</v>
      </c>
      <c r="M85" s="376" t="s">
        <v>424</v>
      </c>
      <c r="N85" s="376" t="s">
        <v>426</v>
      </c>
      <c r="O85" s="376" t="s">
        <v>425</v>
      </c>
      <c r="P85" s="376" t="s">
        <v>427</v>
      </c>
      <c r="Q85" s="376" t="s">
        <v>428</v>
      </c>
      <c r="R85" s="376" t="s">
        <v>429</v>
      </c>
      <c r="S85" s="164" t="s">
        <v>616</v>
      </c>
      <c r="T85" s="213"/>
    </row>
    <row r="86" spans="1:21" ht="14.4" customHeight="1" x14ac:dyDescent="0.25">
      <c r="B86" s="835" t="s">
        <v>156</v>
      </c>
      <c r="C86" s="189" t="s">
        <v>0</v>
      </c>
      <c r="D86" s="190" t="s">
        <v>12</v>
      </c>
      <c r="E86" s="190" t="s">
        <v>4</v>
      </c>
      <c r="F86" s="190" t="s">
        <v>2</v>
      </c>
      <c r="G86" s="190" t="s">
        <v>6</v>
      </c>
      <c r="H86" s="190" t="s">
        <v>5</v>
      </c>
      <c r="I86" s="190" t="s">
        <v>35</v>
      </c>
      <c r="J86" s="191" t="s">
        <v>14</v>
      </c>
      <c r="K86" s="883" t="s">
        <v>154</v>
      </c>
      <c r="L86" s="831" t="s">
        <v>50</v>
      </c>
      <c r="M86" s="837" t="s">
        <v>93</v>
      </c>
      <c r="N86" s="837" t="s">
        <v>94</v>
      </c>
      <c r="O86" s="837" t="s">
        <v>95</v>
      </c>
      <c r="P86" s="837" t="s">
        <v>96</v>
      </c>
      <c r="Q86" s="837" t="s">
        <v>97</v>
      </c>
      <c r="R86" s="837" t="s">
        <v>98</v>
      </c>
      <c r="S86" s="830" t="s">
        <v>646</v>
      </c>
      <c r="T86" s="832" t="s">
        <v>8</v>
      </c>
    </row>
    <row r="87" spans="1:21" ht="14.4" x14ac:dyDescent="0.3">
      <c r="B87" s="882"/>
      <c r="C87" s="192" t="s">
        <v>9</v>
      </c>
      <c r="D87" s="193" t="s">
        <v>10</v>
      </c>
      <c r="E87" s="193" t="s">
        <v>10</v>
      </c>
      <c r="F87" s="193" t="s">
        <v>10</v>
      </c>
      <c r="G87" s="192" t="s">
        <v>9</v>
      </c>
      <c r="H87" s="192" t="s">
        <v>9</v>
      </c>
      <c r="I87" s="192" t="s">
        <v>9</v>
      </c>
      <c r="J87" s="194" t="s">
        <v>15</v>
      </c>
      <c r="K87" s="884"/>
      <c r="L87" s="830"/>
      <c r="M87" s="831"/>
      <c r="N87" s="831"/>
      <c r="O87" s="831"/>
      <c r="P87" s="831"/>
      <c r="Q87" s="831"/>
      <c r="R87" s="831"/>
      <c r="S87" s="831"/>
      <c r="T87" s="833"/>
    </row>
    <row r="88" spans="1:21" ht="14.4" x14ac:dyDescent="0.3">
      <c r="A88" s="218" t="s">
        <v>430</v>
      </c>
      <c r="B88" s="217" t="s">
        <v>333</v>
      </c>
      <c r="C88" s="196"/>
      <c r="D88" s="197">
        <v>1.05</v>
      </c>
      <c r="E88" s="197">
        <v>0.85</v>
      </c>
      <c r="F88" s="197"/>
      <c r="G88" s="83">
        <v>1</v>
      </c>
      <c r="H88" s="198">
        <f>D88*E88*G88</f>
        <v>0.89249999999999996</v>
      </c>
      <c r="I88" s="84"/>
      <c r="J88" s="148"/>
      <c r="K88" s="199" t="s">
        <v>3</v>
      </c>
      <c r="L88" s="53"/>
      <c r="M88" s="53">
        <f>H88</f>
        <v>0.89249999999999996</v>
      </c>
      <c r="N88" s="53"/>
      <c r="O88" s="53"/>
      <c r="P88" s="53"/>
      <c r="Q88" s="53"/>
      <c r="R88" s="200"/>
      <c r="S88" s="200"/>
      <c r="T88" s="201">
        <f t="shared" ref="T88:T92" si="20">SUM(L88:R88)</f>
        <v>0.89249999999999996</v>
      </c>
    </row>
    <row r="89" spans="1:21" ht="14.4" x14ac:dyDescent="0.3">
      <c r="A89" s="218" t="s">
        <v>431</v>
      </c>
      <c r="B89" s="217" t="s">
        <v>345</v>
      </c>
      <c r="C89" s="196"/>
      <c r="D89" s="197">
        <v>2.91</v>
      </c>
      <c r="E89" s="197">
        <v>0.85</v>
      </c>
      <c r="F89" s="197"/>
      <c r="G89" s="83">
        <v>1</v>
      </c>
      <c r="H89" s="198">
        <f t="shared" ref="H89:H92" si="21">D89*E89*G89</f>
        <v>2.4735</v>
      </c>
      <c r="I89" s="84"/>
      <c r="J89" s="148"/>
      <c r="K89" s="199" t="s">
        <v>3</v>
      </c>
      <c r="L89" s="53"/>
      <c r="M89" s="53">
        <f t="shared" ref="M89:M92" si="22">H89</f>
        <v>2.4735</v>
      </c>
      <c r="N89" s="53"/>
      <c r="O89" s="53"/>
      <c r="P89" s="53"/>
      <c r="Q89" s="53"/>
      <c r="R89" s="200"/>
      <c r="S89" s="200"/>
      <c r="T89" s="201">
        <f t="shared" si="20"/>
        <v>2.4735</v>
      </c>
    </row>
    <row r="90" spans="1:21" ht="14.4" x14ac:dyDescent="0.3">
      <c r="A90" s="218" t="s">
        <v>432</v>
      </c>
      <c r="B90" s="217" t="s">
        <v>345</v>
      </c>
      <c r="C90" s="196"/>
      <c r="D90" s="197">
        <v>3.3</v>
      </c>
      <c r="E90" s="197">
        <v>1.03</v>
      </c>
      <c r="F90" s="197"/>
      <c r="G90" s="83">
        <v>1</v>
      </c>
      <c r="H90" s="198">
        <f t="shared" si="21"/>
        <v>3.399</v>
      </c>
      <c r="I90" s="84"/>
      <c r="J90" s="148"/>
      <c r="K90" s="199" t="s">
        <v>3</v>
      </c>
      <c r="L90" s="53"/>
      <c r="M90" s="53">
        <f t="shared" si="22"/>
        <v>3.399</v>
      </c>
      <c r="N90" s="53"/>
      <c r="O90" s="53"/>
      <c r="P90" s="53"/>
      <c r="Q90" s="53"/>
      <c r="R90" s="200"/>
      <c r="S90" s="200"/>
      <c r="T90" s="201">
        <f t="shared" si="20"/>
        <v>3.399</v>
      </c>
    </row>
    <row r="91" spans="1:21" ht="14.4" x14ac:dyDescent="0.3">
      <c r="A91" s="218" t="s">
        <v>433</v>
      </c>
      <c r="B91" s="217" t="s">
        <v>337</v>
      </c>
      <c r="C91" s="196"/>
      <c r="D91" s="197">
        <v>5.15</v>
      </c>
      <c r="E91" s="197">
        <v>0.95</v>
      </c>
      <c r="F91" s="197"/>
      <c r="G91" s="83">
        <v>1</v>
      </c>
      <c r="H91" s="198">
        <f t="shared" si="21"/>
        <v>4.8925000000000001</v>
      </c>
      <c r="I91" s="84"/>
      <c r="J91" s="148"/>
      <c r="K91" s="199" t="s">
        <v>3</v>
      </c>
      <c r="L91" s="53"/>
      <c r="M91" s="53">
        <f t="shared" si="22"/>
        <v>4.8925000000000001</v>
      </c>
      <c r="N91" s="53"/>
      <c r="O91" s="53"/>
      <c r="P91" s="53"/>
      <c r="Q91" s="53"/>
      <c r="R91" s="200"/>
      <c r="S91" s="200"/>
      <c r="T91" s="201">
        <f t="shared" si="20"/>
        <v>4.8925000000000001</v>
      </c>
    </row>
    <row r="92" spans="1:21" ht="14.4" x14ac:dyDescent="0.3">
      <c r="A92" s="218" t="s">
        <v>434</v>
      </c>
      <c r="B92" s="217" t="s">
        <v>338</v>
      </c>
      <c r="C92" s="196"/>
      <c r="D92" s="197">
        <v>5.91</v>
      </c>
      <c r="E92" s="197">
        <v>0.75</v>
      </c>
      <c r="F92" s="197"/>
      <c r="G92" s="83">
        <v>1</v>
      </c>
      <c r="H92" s="198">
        <f t="shared" si="21"/>
        <v>4.4325000000000001</v>
      </c>
      <c r="I92" s="84"/>
      <c r="J92" s="148"/>
      <c r="K92" s="199" t="s">
        <v>3</v>
      </c>
      <c r="L92" s="53"/>
      <c r="M92" s="53">
        <f t="shared" si="22"/>
        <v>4.4325000000000001</v>
      </c>
      <c r="N92" s="53"/>
      <c r="O92" s="53"/>
      <c r="P92" s="53"/>
      <c r="Q92" s="53"/>
      <c r="R92" s="200"/>
      <c r="S92" s="200"/>
      <c r="T92" s="201">
        <f t="shared" si="20"/>
        <v>4.4325000000000001</v>
      </c>
    </row>
    <row r="93" spans="1:21" ht="14.4" x14ac:dyDescent="0.25">
      <c r="B93" s="202" t="s">
        <v>27</v>
      </c>
      <c r="C93" s="203"/>
      <c r="D93" s="204"/>
      <c r="E93" s="205"/>
      <c r="F93" s="205"/>
      <c r="G93" s="206"/>
      <c r="H93" s="205"/>
      <c r="I93" s="205"/>
      <c r="J93" s="205"/>
      <c r="K93" s="207" t="s">
        <v>3</v>
      </c>
      <c r="L93" s="212"/>
      <c r="M93" s="212"/>
      <c r="N93" s="212"/>
      <c r="O93" s="212"/>
      <c r="P93" s="212"/>
      <c r="Q93" s="212"/>
      <c r="R93" s="212"/>
      <c r="S93" s="212"/>
      <c r="T93" s="208">
        <f>SUM(T88:T92)</f>
        <v>16.09</v>
      </c>
      <c r="U93" s="1"/>
    </row>
    <row r="94" spans="1:21" ht="40.049999999999997" customHeight="1" x14ac:dyDescent="0.3">
      <c r="B94" s="380" t="s">
        <v>468</v>
      </c>
      <c r="C94" s="209"/>
      <c r="D94" s="209"/>
      <c r="E94" s="209"/>
      <c r="F94" s="209"/>
      <c r="G94" s="209"/>
      <c r="H94" s="209"/>
      <c r="I94" s="209"/>
      <c r="J94" s="209"/>
      <c r="K94" s="209"/>
      <c r="L94" s="164" t="s">
        <v>167</v>
      </c>
      <c r="M94" s="164" t="s">
        <v>424</v>
      </c>
      <c r="N94" s="164" t="s">
        <v>426</v>
      </c>
      <c r="O94" s="164" t="s">
        <v>425</v>
      </c>
      <c r="P94" s="164" t="s">
        <v>427</v>
      </c>
      <c r="Q94" s="164" t="s">
        <v>428</v>
      </c>
      <c r="R94" s="164" t="s">
        <v>429</v>
      </c>
      <c r="S94" s="164" t="s">
        <v>616</v>
      </c>
      <c r="T94" s="185"/>
    </row>
    <row r="95" spans="1:21" ht="14.4" x14ac:dyDescent="0.25">
      <c r="B95" s="835" t="s">
        <v>156</v>
      </c>
      <c r="C95" s="189" t="s">
        <v>0</v>
      </c>
      <c r="D95" s="190" t="s">
        <v>12</v>
      </c>
      <c r="E95" s="190" t="s">
        <v>4</v>
      </c>
      <c r="F95" s="190" t="s">
        <v>2</v>
      </c>
      <c r="G95" s="190" t="s">
        <v>6</v>
      </c>
      <c r="H95" s="190" t="s">
        <v>5</v>
      </c>
      <c r="I95" s="190" t="s">
        <v>35</v>
      </c>
      <c r="J95" s="191" t="s">
        <v>14</v>
      </c>
      <c r="K95" s="883" t="s">
        <v>154</v>
      </c>
      <c r="L95" s="831" t="s">
        <v>50</v>
      </c>
      <c r="M95" s="830" t="s">
        <v>93</v>
      </c>
      <c r="N95" s="830" t="s">
        <v>94</v>
      </c>
      <c r="O95" s="830" t="s">
        <v>95</v>
      </c>
      <c r="P95" s="830" t="s">
        <v>96</v>
      </c>
      <c r="Q95" s="830" t="s">
        <v>97</v>
      </c>
      <c r="R95" s="830" t="s">
        <v>98</v>
      </c>
      <c r="S95" s="830" t="s">
        <v>646</v>
      </c>
      <c r="T95" s="833" t="s">
        <v>8</v>
      </c>
    </row>
    <row r="96" spans="1:21" ht="14.4" x14ac:dyDescent="0.3">
      <c r="B96" s="882"/>
      <c r="C96" s="192" t="s">
        <v>9</v>
      </c>
      <c r="D96" s="193" t="s">
        <v>10</v>
      </c>
      <c r="E96" s="193" t="s">
        <v>10</v>
      </c>
      <c r="F96" s="193" t="s">
        <v>10</v>
      </c>
      <c r="G96" s="192" t="s">
        <v>9</v>
      </c>
      <c r="H96" s="192" t="s">
        <v>9</v>
      </c>
      <c r="I96" s="192" t="s">
        <v>9</v>
      </c>
      <c r="J96" s="194" t="s">
        <v>15</v>
      </c>
      <c r="K96" s="884"/>
      <c r="L96" s="830"/>
      <c r="M96" s="831"/>
      <c r="N96" s="831"/>
      <c r="O96" s="831"/>
      <c r="P96" s="831"/>
      <c r="Q96" s="831"/>
      <c r="R96" s="831"/>
      <c r="S96" s="831"/>
      <c r="T96" s="833"/>
    </row>
    <row r="97" spans="1:21" ht="14.4" x14ac:dyDescent="0.3">
      <c r="A97" s="218" t="s">
        <v>436</v>
      </c>
      <c r="B97" s="217" t="s">
        <v>435</v>
      </c>
      <c r="C97" s="196"/>
      <c r="D97" s="197">
        <v>11.23</v>
      </c>
      <c r="E97" s="197">
        <v>0.95</v>
      </c>
      <c r="F97" s="197"/>
      <c r="G97" s="83">
        <v>1</v>
      </c>
      <c r="H97" s="198">
        <f>D97*E97*G97</f>
        <v>10.6685</v>
      </c>
      <c r="I97" s="84"/>
      <c r="J97" s="148"/>
      <c r="K97" s="199" t="s">
        <v>3</v>
      </c>
      <c r="L97" s="53"/>
      <c r="M97" s="53">
        <f>H97</f>
        <v>10.6685</v>
      </c>
      <c r="N97" s="53"/>
      <c r="O97" s="53"/>
      <c r="P97" s="53"/>
      <c r="Q97" s="53"/>
      <c r="R97" s="200"/>
      <c r="S97" s="200"/>
      <c r="T97" s="201">
        <f>SUM(L97:S97)</f>
        <v>10.6685</v>
      </c>
    </row>
    <row r="98" spans="1:21" ht="14.4" x14ac:dyDescent="0.3">
      <c r="A98" s="218" t="s">
        <v>437</v>
      </c>
      <c r="B98" s="217" t="s">
        <v>342</v>
      </c>
      <c r="C98" s="196"/>
      <c r="D98" s="197">
        <v>10.79</v>
      </c>
      <c r="E98" s="197">
        <v>0.95</v>
      </c>
      <c r="F98" s="197"/>
      <c r="G98" s="83">
        <v>1</v>
      </c>
      <c r="H98" s="198">
        <f t="shared" ref="H98:H106" si="23">D98*E98*G98</f>
        <v>10.250499999999999</v>
      </c>
      <c r="I98" s="84"/>
      <c r="J98" s="148"/>
      <c r="K98" s="199" t="s">
        <v>3</v>
      </c>
      <c r="L98" s="53"/>
      <c r="M98" s="53">
        <f t="shared" ref="M98:M102" si="24">H98</f>
        <v>10.250499999999999</v>
      </c>
      <c r="N98" s="53"/>
      <c r="O98" s="53"/>
      <c r="P98" s="53"/>
      <c r="Q98" s="53"/>
      <c r="R98" s="200"/>
      <c r="S98" s="200"/>
      <c r="T98" s="201">
        <f t="shared" ref="T98:T106" si="25">SUM(L98:S98)</f>
        <v>10.250499999999999</v>
      </c>
    </row>
    <row r="99" spans="1:21" ht="14.4" x14ac:dyDescent="0.3">
      <c r="A99" s="218" t="s">
        <v>438</v>
      </c>
      <c r="B99" s="217" t="s">
        <v>339</v>
      </c>
      <c r="C99" s="196"/>
      <c r="D99" s="197">
        <v>5.26</v>
      </c>
      <c r="E99" s="197">
        <v>0.95</v>
      </c>
      <c r="F99" s="197"/>
      <c r="G99" s="83">
        <v>1</v>
      </c>
      <c r="H99" s="198">
        <f t="shared" si="23"/>
        <v>4.9969999999999999</v>
      </c>
      <c r="I99" s="84"/>
      <c r="J99" s="148"/>
      <c r="K99" s="199" t="s">
        <v>3</v>
      </c>
      <c r="L99" s="53"/>
      <c r="M99" s="53">
        <f t="shared" si="24"/>
        <v>4.9969999999999999</v>
      </c>
      <c r="N99" s="53"/>
      <c r="O99" s="53"/>
      <c r="P99" s="53"/>
      <c r="Q99" s="53"/>
      <c r="R99" s="200"/>
      <c r="S99" s="200"/>
      <c r="T99" s="201">
        <f t="shared" si="25"/>
        <v>4.9969999999999999</v>
      </c>
    </row>
    <row r="100" spans="1:21" ht="14.4" x14ac:dyDescent="0.3">
      <c r="A100" s="218" t="s">
        <v>439</v>
      </c>
      <c r="B100" s="217" t="s">
        <v>340</v>
      </c>
      <c r="C100" s="196"/>
      <c r="D100" s="197">
        <v>4.53</v>
      </c>
      <c r="E100" s="197">
        <v>0.95</v>
      </c>
      <c r="F100" s="197"/>
      <c r="G100" s="83">
        <v>1</v>
      </c>
      <c r="H100" s="198">
        <f t="shared" si="23"/>
        <v>4.3034999999999997</v>
      </c>
      <c r="I100" s="84"/>
      <c r="J100" s="148"/>
      <c r="K100" s="199" t="s">
        <v>3</v>
      </c>
      <c r="L100" s="53"/>
      <c r="M100" s="53">
        <f t="shared" si="24"/>
        <v>4.3034999999999997</v>
      </c>
      <c r="N100" s="53"/>
      <c r="O100" s="53"/>
      <c r="P100" s="53"/>
      <c r="Q100" s="53"/>
      <c r="R100" s="200"/>
      <c r="S100" s="200"/>
      <c r="T100" s="201">
        <f t="shared" si="25"/>
        <v>4.3034999999999997</v>
      </c>
    </row>
    <row r="101" spans="1:21" ht="14.4" x14ac:dyDescent="0.3">
      <c r="A101" s="218" t="s">
        <v>440</v>
      </c>
      <c r="B101" s="217" t="s">
        <v>335</v>
      </c>
      <c r="C101" s="196"/>
      <c r="D101" s="197">
        <v>3.4</v>
      </c>
      <c r="E101" s="197">
        <v>0.95</v>
      </c>
      <c r="F101" s="197"/>
      <c r="G101" s="83">
        <v>1</v>
      </c>
      <c r="H101" s="198">
        <f t="shared" si="23"/>
        <v>3.23</v>
      </c>
      <c r="I101" s="84"/>
      <c r="J101" s="148"/>
      <c r="K101" s="199" t="s">
        <v>3</v>
      </c>
      <c r="L101" s="53"/>
      <c r="M101" s="53">
        <f t="shared" si="24"/>
        <v>3.23</v>
      </c>
      <c r="N101" s="53"/>
      <c r="O101" s="53"/>
      <c r="P101" s="53"/>
      <c r="Q101" s="53"/>
      <c r="R101" s="200"/>
      <c r="S101" s="200"/>
      <c r="T101" s="201">
        <f t="shared" si="25"/>
        <v>3.23</v>
      </c>
    </row>
    <row r="102" spans="1:21" ht="14.4" x14ac:dyDescent="0.3">
      <c r="A102" s="218" t="s">
        <v>441</v>
      </c>
      <c r="B102" s="217" t="s">
        <v>338</v>
      </c>
      <c r="C102" s="196"/>
      <c r="D102" s="197">
        <v>3.6</v>
      </c>
      <c r="E102" s="197">
        <v>0.95</v>
      </c>
      <c r="F102" s="197"/>
      <c r="G102" s="83">
        <v>1</v>
      </c>
      <c r="H102" s="375">
        <f t="shared" si="23"/>
        <v>3.42</v>
      </c>
      <c r="I102" s="84"/>
      <c r="J102" s="148"/>
      <c r="K102" s="199" t="s">
        <v>3</v>
      </c>
      <c r="L102" s="53"/>
      <c r="M102" s="53">
        <f t="shared" si="24"/>
        <v>3.42</v>
      </c>
      <c r="N102" s="53"/>
      <c r="O102" s="53"/>
      <c r="P102" s="53"/>
      <c r="Q102" s="53"/>
      <c r="R102" s="200"/>
      <c r="S102" s="200"/>
      <c r="T102" s="201">
        <f t="shared" si="25"/>
        <v>3.42</v>
      </c>
    </row>
    <row r="103" spans="1:21" ht="14.4" x14ac:dyDescent="0.3">
      <c r="A103" s="218" t="s">
        <v>433</v>
      </c>
      <c r="B103" s="217" t="s">
        <v>308</v>
      </c>
      <c r="C103" s="196"/>
      <c r="D103" s="197">
        <v>1.95</v>
      </c>
      <c r="E103" s="197">
        <v>0.75</v>
      </c>
      <c r="F103" s="197"/>
      <c r="G103" s="83">
        <v>1</v>
      </c>
      <c r="H103" s="375">
        <f t="shared" si="23"/>
        <v>1.4624999999999999</v>
      </c>
      <c r="I103" s="84"/>
      <c r="J103" s="148"/>
      <c r="K103" s="199" t="s">
        <v>3</v>
      </c>
      <c r="L103" s="53"/>
      <c r="M103" s="53"/>
      <c r="N103" s="53"/>
      <c r="O103" s="53"/>
      <c r="P103" s="53"/>
      <c r="Q103" s="53">
        <f>H103</f>
        <v>1.4624999999999999</v>
      </c>
      <c r="R103" s="200"/>
      <c r="S103" s="200"/>
      <c r="T103" s="201">
        <f t="shared" si="25"/>
        <v>1.4624999999999999</v>
      </c>
    </row>
    <row r="104" spans="1:21" ht="14.4" x14ac:dyDescent="0.3">
      <c r="A104" s="218" t="s">
        <v>434</v>
      </c>
      <c r="B104" s="217" t="s">
        <v>299</v>
      </c>
      <c r="C104" s="196"/>
      <c r="D104" s="197">
        <v>2.39</v>
      </c>
      <c r="E104" s="197">
        <v>0.75</v>
      </c>
      <c r="F104" s="197"/>
      <c r="G104" s="83">
        <v>1</v>
      </c>
      <c r="H104" s="375">
        <f t="shared" si="23"/>
        <v>1.7925</v>
      </c>
      <c r="I104" s="84"/>
      <c r="J104" s="148"/>
      <c r="K104" s="199" t="s">
        <v>3</v>
      </c>
      <c r="L104" s="53"/>
      <c r="M104" s="53"/>
      <c r="N104" s="53"/>
      <c r="O104" s="53"/>
      <c r="P104" s="53"/>
      <c r="Q104" s="53">
        <f>H104</f>
        <v>1.7925</v>
      </c>
      <c r="R104" s="200"/>
      <c r="S104" s="200"/>
      <c r="T104" s="201">
        <f t="shared" si="25"/>
        <v>1.7925</v>
      </c>
    </row>
    <row r="105" spans="1:21" ht="14.4" x14ac:dyDescent="0.3">
      <c r="A105" s="218"/>
      <c r="B105" s="217" t="s">
        <v>680</v>
      </c>
      <c r="C105" s="196"/>
      <c r="D105" s="197">
        <v>1</v>
      </c>
      <c r="E105" s="197">
        <v>0.75</v>
      </c>
      <c r="F105" s="197"/>
      <c r="G105" s="83">
        <v>1</v>
      </c>
      <c r="H105" s="375">
        <f t="shared" si="23"/>
        <v>0.75</v>
      </c>
      <c r="I105" s="84"/>
      <c r="J105" s="148"/>
      <c r="K105" s="199" t="s">
        <v>3</v>
      </c>
      <c r="L105" s="53"/>
      <c r="M105" s="53"/>
      <c r="N105" s="53"/>
      <c r="O105" s="53"/>
      <c r="P105" s="53"/>
      <c r="Q105" s="53"/>
      <c r="R105" s="200"/>
      <c r="S105" s="200">
        <f>H105</f>
        <v>0.75</v>
      </c>
      <c r="T105" s="201">
        <f t="shared" si="25"/>
        <v>0.75</v>
      </c>
    </row>
    <row r="106" spans="1:21" ht="14.4" x14ac:dyDescent="0.3">
      <c r="A106" s="218"/>
      <c r="B106" s="217" t="s">
        <v>622</v>
      </c>
      <c r="C106" s="196"/>
      <c r="D106" s="197">
        <v>1.4</v>
      </c>
      <c r="E106" s="197">
        <v>0.75</v>
      </c>
      <c r="F106" s="197"/>
      <c r="G106" s="83">
        <v>1</v>
      </c>
      <c r="H106" s="375">
        <f t="shared" si="23"/>
        <v>1.0499999999999998</v>
      </c>
      <c r="I106" s="84"/>
      <c r="J106" s="148"/>
      <c r="K106" s="199" t="s">
        <v>3</v>
      </c>
      <c r="L106" s="53"/>
      <c r="M106" s="53"/>
      <c r="N106" s="53"/>
      <c r="O106" s="53"/>
      <c r="P106" s="53"/>
      <c r="Q106" s="53"/>
      <c r="R106" s="200"/>
      <c r="S106" s="200">
        <f>H106</f>
        <v>1.0499999999999998</v>
      </c>
      <c r="T106" s="201">
        <f t="shared" si="25"/>
        <v>1.0499999999999998</v>
      </c>
    </row>
    <row r="107" spans="1:21" ht="14.4" x14ac:dyDescent="0.3">
      <c r="B107" s="202" t="s">
        <v>27</v>
      </c>
      <c r="C107" s="203"/>
      <c r="D107" s="204"/>
      <c r="E107" s="205"/>
      <c r="F107" s="205"/>
      <c r="G107" s="206"/>
      <c r="H107" s="205"/>
      <c r="I107" s="205"/>
      <c r="J107" s="205"/>
      <c r="K107" s="207" t="s">
        <v>3</v>
      </c>
      <c r="L107" s="212"/>
      <c r="M107" s="212"/>
      <c r="N107" s="212"/>
      <c r="O107" s="212"/>
      <c r="P107" s="212"/>
      <c r="Q107" s="212"/>
      <c r="R107" s="212"/>
      <c r="S107" s="212"/>
      <c r="T107" s="529">
        <f>SUM(T97:T106)</f>
        <v>41.924499999999988</v>
      </c>
      <c r="U107" s="1"/>
    </row>
    <row r="108" spans="1:21" ht="40.049999999999997" customHeight="1" x14ac:dyDescent="0.3">
      <c r="B108" s="380" t="s">
        <v>470</v>
      </c>
      <c r="C108" s="209"/>
      <c r="D108" s="209"/>
      <c r="E108" s="209"/>
      <c r="F108" s="209"/>
      <c r="G108" s="209"/>
      <c r="H108" s="209"/>
      <c r="I108" s="209"/>
      <c r="J108" s="209"/>
      <c r="K108" s="209"/>
      <c r="L108" s="164" t="s">
        <v>167</v>
      </c>
      <c r="M108" s="164" t="s">
        <v>424</v>
      </c>
      <c r="N108" s="164" t="s">
        <v>426</v>
      </c>
      <c r="O108" s="164" t="s">
        <v>425</v>
      </c>
      <c r="P108" s="164" t="s">
        <v>427</v>
      </c>
      <c r="Q108" s="164" t="s">
        <v>428</v>
      </c>
      <c r="R108" s="164" t="s">
        <v>429</v>
      </c>
      <c r="S108" s="164" t="s">
        <v>616</v>
      </c>
      <c r="T108" s="185"/>
    </row>
    <row r="109" spans="1:21" ht="14.4" x14ac:dyDescent="0.25">
      <c r="B109" s="835" t="s">
        <v>156</v>
      </c>
      <c r="C109" s="189" t="s">
        <v>0</v>
      </c>
      <c r="D109" s="190" t="s">
        <v>12</v>
      </c>
      <c r="E109" s="190" t="s">
        <v>4</v>
      </c>
      <c r="F109" s="190" t="s">
        <v>2</v>
      </c>
      <c r="G109" s="190" t="s">
        <v>6</v>
      </c>
      <c r="H109" s="190" t="s">
        <v>5</v>
      </c>
      <c r="I109" s="190" t="s">
        <v>35</v>
      </c>
      <c r="J109" s="191" t="s">
        <v>14</v>
      </c>
      <c r="K109" s="883" t="s">
        <v>154</v>
      </c>
      <c r="L109" s="831" t="s">
        <v>50</v>
      </c>
      <c r="M109" s="830" t="s">
        <v>93</v>
      </c>
      <c r="N109" s="830" t="s">
        <v>94</v>
      </c>
      <c r="O109" s="830" t="s">
        <v>95</v>
      </c>
      <c r="P109" s="830" t="s">
        <v>96</v>
      </c>
      <c r="Q109" s="830" t="s">
        <v>97</v>
      </c>
      <c r="R109" s="830" t="s">
        <v>98</v>
      </c>
      <c r="S109" s="830" t="s">
        <v>646</v>
      </c>
      <c r="T109" s="833" t="s">
        <v>8</v>
      </c>
    </row>
    <row r="110" spans="1:21" ht="14.4" x14ac:dyDescent="0.3">
      <c r="B110" s="882"/>
      <c r="C110" s="192" t="s">
        <v>9</v>
      </c>
      <c r="D110" s="193" t="s">
        <v>10</v>
      </c>
      <c r="E110" s="193" t="s">
        <v>10</v>
      </c>
      <c r="F110" s="193" t="s">
        <v>10</v>
      </c>
      <c r="G110" s="192" t="s">
        <v>9</v>
      </c>
      <c r="H110" s="192" t="s">
        <v>9</v>
      </c>
      <c r="I110" s="192" t="s">
        <v>9</v>
      </c>
      <c r="J110" s="194" t="s">
        <v>15</v>
      </c>
      <c r="K110" s="884"/>
      <c r="L110" s="830"/>
      <c r="M110" s="831"/>
      <c r="N110" s="831"/>
      <c r="O110" s="831"/>
      <c r="P110" s="831"/>
      <c r="Q110" s="831"/>
      <c r="R110" s="831"/>
      <c r="S110" s="831"/>
      <c r="T110" s="833"/>
    </row>
    <row r="111" spans="1:21" ht="14.4" x14ac:dyDescent="0.3">
      <c r="A111" s="218" t="s">
        <v>442</v>
      </c>
      <c r="B111" s="217" t="s">
        <v>257</v>
      </c>
      <c r="C111" s="196"/>
      <c r="D111" s="197">
        <v>2.35</v>
      </c>
      <c r="E111" s="197">
        <v>0.75</v>
      </c>
      <c r="F111" s="197"/>
      <c r="G111" s="83">
        <v>1</v>
      </c>
      <c r="H111" s="198">
        <f>D111*E111*G111</f>
        <v>1.7625000000000002</v>
      </c>
      <c r="I111" s="84"/>
      <c r="J111" s="148"/>
      <c r="K111" s="199" t="s">
        <v>3</v>
      </c>
      <c r="L111" s="53"/>
      <c r="M111" s="53">
        <f>H111</f>
        <v>1.7625000000000002</v>
      </c>
      <c r="N111" s="53"/>
      <c r="O111" s="53"/>
      <c r="P111" s="53"/>
      <c r="Q111" s="53"/>
      <c r="R111" s="200"/>
      <c r="S111" s="200"/>
      <c r="T111" s="201">
        <f t="shared" ref="T111:T117" si="26">SUM(L111:R111)</f>
        <v>1.7625000000000002</v>
      </c>
    </row>
    <row r="112" spans="1:21" ht="14.4" x14ac:dyDescent="0.3">
      <c r="A112" s="218" t="s">
        <v>443</v>
      </c>
      <c r="B112" s="217" t="s">
        <v>337</v>
      </c>
      <c r="C112" s="196"/>
      <c r="D112" s="197">
        <v>7.46</v>
      </c>
      <c r="E112" s="197">
        <v>0.95</v>
      </c>
      <c r="F112" s="197"/>
      <c r="G112" s="83">
        <v>1</v>
      </c>
      <c r="H112" s="198">
        <f t="shared" ref="H112:H117" si="27">D112*E112*G112</f>
        <v>7.0869999999999997</v>
      </c>
      <c r="I112" s="84"/>
      <c r="J112" s="148"/>
      <c r="K112" s="199" t="s">
        <v>3</v>
      </c>
      <c r="L112" s="53"/>
      <c r="M112" s="53">
        <f t="shared" ref="M112" si="28">H112</f>
        <v>7.0869999999999997</v>
      </c>
      <c r="N112" s="53"/>
      <c r="O112" s="53"/>
      <c r="P112" s="53"/>
      <c r="Q112" s="53"/>
      <c r="R112" s="200"/>
      <c r="S112" s="200"/>
      <c r="T112" s="201">
        <f t="shared" si="26"/>
        <v>7.0869999999999997</v>
      </c>
    </row>
    <row r="113" spans="1:21" ht="14.4" x14ac:dyDescent="0.3">
      <c r="A113" s="218" t="s">
        <v>434</v>
      </c>
      <c r="B113" s="199" t="s">
        <v>257</v>
      </c>
      <c r="C113" s="196"/>
      <c r="D113" s="197">
        <v>2.6</v>
      </c>
      <c r="E113" s="197">
        <v>0.75</v>
      </c>
      <c r="F113" s="197"/>
      <c r="G113" s="83">
        <v>1</v>
      </c>
      <c r="H113" s="198">
        <f t="shared" si="27"/>
        <v>1.9500000000000002</v>
      </c>
      <c r="I113" s="84"/>
      <c r="J113" s="148"/>
      <c r="K113" s="199" t="s">
        <v>3</v>
      </c>
      <c r="L113" s="53"/>
      <c r="M113" s="53"/>
      <c r="N113" s="53"/>
      <c r="O113" s="53">
        <f>H113</f>
        <v>1.9500000000000002</v>
      </c>
      <c r="P113" s="53"/>
      <c r="Q113" s="53"/>
      <c r="R113" s="200"/>
      <c r="S113" s="200"/>
      <c r="T113" s="201">
        <f t="shared" si="26"/>
        <v>1.9500000000000002</v>
      </c>
    </row>
    <row r="114" spans="1:21" ht="14.4" x14ac:dyDescent="0.3">
      <c r="A114" s="218" t="s">
        <v>440</v>
      </c>
      <c r="B114" s="379" t="s">
        <v>257</v>
      </c>
      <c r="C114" s="196"/>
      <c r="D114" s="197">
        <v>2.6</v>
      </c>
      <c r="E114" s="197">
        <v>0.75</v>
      </c>
      <c r="F114" s="197"/>
      <c r="G114" s="83">
        <v>1</v>
      </c>
      <c r="H114" s="198">
        <f t="shared" si="27"/>
        <v>1.9500000000000002</v>
      </c>
      <c r="I114" s="84"/>
      <c r="J114" s="148"/>
      <c r="K114" s="199" t="s">
        <v>3</v>
      </c>
      <c r="L114" s="53"/>
      <c r="M114" s="53"/>
      <c r="N114" s="53"/>
      <c r="O114" s="53"/>
      <c r="P114" s="53">
        <f>H114</f>
        <v>1.9500000000000002</v>
      </c>
      <c r="Q114" s="53"/>
      <c r="R114" s="200"/>
      <c r="S114" s="200"/>
      <c r="T114" s="201">
        <f t="shared" si="26"/>
        <v>1.9500000000000002</v>
      </c>
    </row>
    <row r="115" spans="1:21" ht="14.4" x14ac:dyDescent="0.3">
      <c r="A115" s="218" t="s">
        <v>441</v>
      </c>
      <c r="B115" s="379" t="s">
        <v>257</v>
      </c>
      <c r="C115" s="196"/>
      <c r="D115" s="197">
        <v>2.7</v>
      </c>
      <c r="E115" s="197">
        <v>0.75</v>
      </c>
      <c r="F115" s="197"/>
      <c r="G115" s="83">
        <v>1</v>
      </c>
      <c r="H115" s="198">
        <f t="shared" si="27"/>
        <v>2.0250000000000004</v>
      </c>
      <c r="I115" s="84"/>
      <c r="J115" s="148"/>
      <c r="K115" s="199" t="s">
        <v>3</v>
      </c>
      <c r="L115" s="53"/>
      <c r="M115" s="53"/>
      <c r="N115" s="53"/>
      <c r="O115" s="53"/>
      <c r="P115" s="53">
        <f>H115</f>
        <v>2.0250000000000004</v>
      </c>
      <c r="Q115" s="53"/>
      <c r="R115" s="200"/>
      <c r="S115" s="200"/>
      <c r="T115" s="201">
        <f t="shared" si="26"/>
        <v>2.0250000000000004</v>
      </c>
    </row>
    <row r="116" spans="1:21" ht="14.4" x14ac:dyDescent="0.3">
      <c r="A116" s="218" t="s">
        <v>436</v>
      </c>
      <c r="B116" s="379" t="s">
        <v>257</v>
      </c>
      <c r="C116" s="196"/>
      <c r="D116" s="197">
        <v>3.04</v>
      </c>
      <c r="E116" s="197">
        <v>0.75</v>
      </c>
      <c r="F116" s="197"/>
      <c r="G116" s="83">
        <v>1</v>
      </c>
      <c r="H116" s="198">
        <f t="shared" si="27"/>
        <v>2.2800000000000002</v>
      </c>
      <c r="I116" s="84"/>
      <c r="J116" s="148"/>
      <c r="K116" s="199" t="s">
        <v>3</v>
      </c>
      <c r="L116" s="53"/>
      <c r="M116" s="53"/>
      <c r="N116" s="53"/>
      <c r="O116" s="53"/>
      <c r="P116" s="53"/>
      <c r="Q116" s="53">
        <f>H116</f>
        <v>2.2800000000000002</v>
      </c>
      <c r="R116" s="200"/>
      <c r="S116" s="200"/>
      <c r="T116" s="201">
        <f t="shared" si="26"/>
        <v>2.2800000000000002</v>
      </c>
    </row>
    <row r="117" spans="1:21" ht="14.4" x14ac:dyDescent="0.3">
      <c r="A117" s="218" t="s">
        <v>434</v>
      </c>
      <c r="B117" s="379" t="s">
        <v>257</v>
      </c>
      <c r="C117" s="196"/>
      <c r="D117" s="197">
        <v>2.6</v>
      </c>
      <c r="E117" s="197">
        <v>0.75</v>
      </c>
      <c r="F117" s="197"/>
      <c r="G117" s="83">
        <v>1</v>
      </c>
      <c r="H117" s="375">
        <f t="shared" si="27"/>
        <v>1.9500000000000002</v>
      </c>
      <c r="I117" s="84"/>
      <c r="J117" s="148"/>
      <c r="K117" s="199" t="s">
        <v>3</v>
      </c>
      <c r="L117" s="53"/>
      <c r="M117" s="53"/>
      <c r="N117" s="53"/>
      <c r="O117" s="53"/>
      <c r="P117" s="53"/>
      <c r="Q117" s="53"/>
      <c r="R117" s="200">
        <f>H117</f>
        <v>1.9500000000000002</v>
      </c>
      <c r="S117" s="200"/>
      <c r="T117" s="201">
        <f t="shared" si="26"/>
        <v>1.9500000000000002</v>
      </c>
    </row>
    <row r="118" spans="1:21" ht="14.4" x14ac:dyDescent="0.25">
      <c r="B118" s="202" t="s">
        <v>27</v>
      </c>
      <c r="C118" s="203"/>
      <c r="D118" s="204"/>
      <c r="E118" s="205"/>
      <c r="F118" s="205"/>
      <c r="G118" s="206"/>
      <c r="H118" s="205"/>
      <c r="I118" s="205"/>
      <c r="J118" s="205"/>
      <c r="K118" s="207" t="s">
        <v>3</v>
      </c>
      <c r="L118" s="212"/>
      <c r="M118" s="212"/>
      <c r="N118" s="212"/>
      <c r="O118" s="212"/>
      <c r="P118" s="212"/>
      <c r="Q118" s="212"/>
      <c r="R118" s="212"/>
      <c r="S118" s="212"/>
      <c r="T118" s="208">
        <f>SUM(T111:T117)</f>
        <v>19.004499999999997</v>
      </c>
      <c r="U118" s="1"/>
    </row>
    <row r="119" spans="1:21" ht="14.4" x14ac:dyDescent="0.25">
      <c r="B119" s="202"/>
      <c r="C119" s="203"/>
      <c r="D119" s="204"/>
      <c r="E119" s="205"/>
      <c r="F119" s="205"/>
      <c r="G119" s="206"/>
      <c r="H119" s="205"/>
      <c r="I119" s="205"/>
      <c r="J119" s="205"/>
      <c r="K119" s="207"/>
      <c r="L119" s="377"/>
      <c r="M119" s="377"/>
      <c r="N119" s="377"/>
      <c r="O119" s="377"/>
      <c r="P119" s="377"/>
      <c r="Q119" s="377"/>
      <c r="R119" s="377"/>
      <c r="S119" s="377"/>
      <c r="T119" s="208"/>
    </row>
    <row r="120" spans="1:21" ht="43.2" x14ac:dyDescent="0.3">
      <c r="B120" s="380" t="s">
        <v>159</v>
      </c>
      <c r="C120" s="209"/>
      <c r="D120" s="209"/>
      <c r="E120" s="209"/>
      <c r="F120" s="209"/>
      <c r="G120" s="209"/>
      <c r="H120" s="209"/>
      <c r="I120" s="209"/>
      <c r="J120" s="209"/>
      <c r="K120" s="209"/>
      <c r="L120" s="164" t="s">
        <v>167</v>
      </c>
      <c r="M120" s="164" t="s">
        <v>424</v>
      </c>
      <c r="N120" s="164" t="s">
        <v>426</v>
      </c>
      <c r="O120" s="164" t="s">
        <v>425</v>
      </c>
      <c r="P120" s="164" t="s">
        <v>427</v>
      </c>
      <c r="Q120" s="164" t="s">
        <v>428</v>
      </c>
      <c r="R120" s="164" t="s">
        <v>429</v>
      </c>
      <c r="S120" s="164" t="s">
        <v>616</v>
      </c>
      <c r="T120" s="185"/>
    </row>
    <row r="121" spans="1:21" ht="14.4" customHeight="1" x14ac:dyDescent="0.25">
      <c r="B121" s="835" t="s">
        <v>156</v>
      </c>
      <c r="C121" s="189" t="s">
        <v>0</v>
      </c>
      <c r="D121" s="190" t="s">
        <v>12</v>
      </c>
      <c r="E121" s="190" t="s">
        <v>4</v>
      </c>
      <c r="F121" s="190" t="s">
        <v>2</v>
      </c>
      <c r="G121" s="190" t="s">
        <v>6</v>
      </c>
      <c r="H121" s="190" t="s">
        <v>5</v>
      </c>
      <c r="I121" s="190" t="s">
        <v>35</v>
      </c>
      <c r="J121" s="191" t="s">
        <v>14</v>
      </c>
      <c r="K121" s="883" t="s">
        <v>154</v>
      </c>
      <c r="L121" s="831" t="s">
        <v>50</v>
      </c>
      <c r="M121" s="830" t="s">
        <v>93</v>
      </c>
      <c r="N121" s="830" t="s">
        <v>94</v>
      </c>
      <c r="O121" s="830" t="s">
        <v>95</v>
      </c>
      <c r="P121" s="830" t="s">
        <v>96</v>
      </c>
      <c r="Q121" s="830" t="s">
        <v>97</v>
      </c>
      <c r="R121" s="830" t="s">
        <v>98</v>
      </c>
      <c r="S121" s="830" t="s">
        <v>646</v>
      </c>
      <c r="T121" s="833" t="s">
        <v>8</v>
      </c>
    </row>
    <row r="122" spans="1:21" ht="14.4" x14ac:dyDescent="0.3">
      <c r="B122" s="882"/>
      <c r="C122" s="192" t="s">
        <v>9</v>
      </c>
      <c r="D122" s="193" t="s">
        <v>10</v>
      </c>
      <c r="E122" s="193" t="s">
        <v>10</v>
      </c>
      <c r="F122" s="193" t="s">
        <v>10</v>
      </c>
      <c r="G122" s="192" t="s">
        <v>9</v>
      </c>
      <c r="H122" s="192" t="s">
        <v>9</v>
      </c>
      <c r="I122" s="192" t="s">
        <v>9</v>
      </c>
      <c r="J122" s="194" t="s">
        <v>15</v>
      </c>
      <c r="K122" s="884"/>
      <c r="L122" s="830"/>
      <c r="M122" s="831"/>
      <c r="N122" s="831"/>
      <c r="O122" s="831"/>
      <c r="P122" s="831"/>
      <c r="Q122" s="831"/>
      <c r="R122" s="831"/>
      <c r="S122" s="831"/>
      <c r="T122" s="833"/>
    </row>
    <row r="123" spans="1:21" ht="14.4" x14ac:dyDescent="0.3">
      <c r="A123" s="218" t="s">
        <v>431</v>
      </c>
      <c r="B123" s="217" t="s">
        <v>160</v>
      </c>
      <c r="C123" s="196"/>
      <c r="D123" s="197">
        <v>5.26</v>
      </c>
      <c r="E123" s="197">
        <v>0.75</v>
      </c>
      <c r="F123" s="197"/>
      <c r="G123" s="83">
        <v>1</v>
      </c>
      <c r="H123" s="198">
        <f>D123*E123*G123</f>
        <v>3.9449999999999998</v>
      </c>
      <c r="I123" s="84"/>
      <c r="J123" s="148"/>
      <c r="K123" s="199" t="s">
        <v>3</v>
      </c>
      <c r="L123" s="53">
        <f t="shared" ref="L123:L128" si="29">H123</f>
        <v>3.9449999999999998</v>
      </c>
      <c r="M123" s="53"/>
      <c r="N123" s="53"/>
      <c r="O123" s="53"/>
      <c r="P123" s="53"/>
      <c r="Q123" s="53"/>
      <c r="R123" s="200"/>
      <c r="S123" s="200"/>
      <c r="T123" s="201">
        <f t="shared" ref="T123:T128" si="30">SUM(L123:R123)</f>
        <v>3.9449999999999998</v>
      </c>
    </row>
    <row r="124" spans="1:21" ht="14.4" x14ac:dyDescent="0.3">
      <c r="A124" s="218" t="s">
        <v>432</v>
      </c>
      <c r="B124" s="217" t="s">
        <v>161</v>
      </c>
      <c r="C124" s="196"/>
      <c r="D124" s="197">
        <v>4.49</v>
      </c>
      <c r="E124" s="197">
        <v>0.92</v>
      </c>
      <c r="F124" s="197"/>
      <c r="G124" s="83">
        <v>1</v>
      </c>
      <c r="H124" s="198">
        <f t="shared" ref="H124:H128" si="31">D124*E124*G124</f>
        <v>4.1308000000000007</v>
      </c>
      <c r="I124" s="84"/>
      <c r="J124" s="148"/>
      <c r="K124" s="199" t="s">
        <v>3</v>
      </c>
      <c r="L124" s="53">
        <f t="shared" si="29"/>
        <v>4.1308000000000007</v>
      </c>
      <c r="M124" s="53"/>
      <c r="N124" s="53"/>
      <c r="O124" s="53"/>
      <c r="P124" s="53"/>
      <c r="Q124" s="53"/>
      <c r="R124" s="200"/>
      <c r="S124" s="200"/>
      <c r="T124" s="201">
        <f t="shared" si="30"/>
        <v>4.1308000000000007</v>
      </c>
    </row>
    <row r="125" spans="1:21" ht="14.4" x14ac:dyDescent="0.3">
      <c r="A125" s="218" t="s">
        <v>432</v>
      </c>
      <c r="B125" s="217" t="s">
        <v>161</v>
      </c>
      <c r="C125" s="196"/>
      <c r="D125" s="197">
        <v>2.1</v>
      </c>
      <c r="E125" s="197">
        <v>1</v>
      </c>
      <c r="F125" s="197"/>
      <c r="G125" s="83">
        <v>1</v>
      </c>
      <c r="H125" s="198">
        <f t="shared" si="31"/>
        <v>2.1</v>
      </c>
      <c r="I125" s="84"/>
      <c r="J125" s="148"/>
      <c r="K125" s="199" t="s">
        <v>3</v>
      </c>
      <c r="L125" s="53">
        <f t="shared" si="29"/>
        <v>2.1</v>
      </c>
      <c r="M125" s="53"/>
      <c r="N125" s="53"/>
      <c r="O125" s="53"/>
      <c r="P125" s="53"/>
      <c r="Q125" s="53"/>
      <c r="R125" s="200"/>
      <c r="S125" s="200"/>
      <c r="T125" s="201">
        <f t="shared" si="30"/>
        <v>2.1</v>
      </c>
    </row>
    <row r="126" spans="1:21" ht="14.4" x14ac:dyDescent="0.3">
      <c r="A126" s="218" t="s">
        <v>433</v>
      </c>
      <c r="B126" s="217" t="s">
        <v>162</v>
      </c>
      <c r="C126" s="196"/>
      <c r="D126" s="197">
        <v>8.52</v>
      </c>
      <c r="E126" s="197">
        <v>0.95</v>
      </c>
      <c r="F126" s="197"/>
      <c r="G126" s="83">
        <v>1</v>
      </c>
      <c r="H126" s="198">
        <f t="shared" si="31"/>
        <v>8.0939999999999994</v>
      </c>
      <c r="I126" s="84"/>
      <c r="J126" s="148"/>
      <c r="K126" s="199" t="s">
        <v>3</v>
      </c>
      <c r="L126" s="53">
        <f t="shared" si="29"/>
        <v>8.0939999999999994</v>
      </c>
      <c r="M126" s="53"/>
      <c r="N126" s="53"/>
      <c r="O126" s="53"/>
      <c r="P126" s="53"/>
      <c r="Q126" s="53"/>
      <c r="R126" s="200"/>
      <c r="S126" s="200"/>
      <c r="T126" s="201">
        <f t="shared" si="30"/>
        <v>8.0939999999999994</v>
      </c>
    </row>
    <row r="127" spans="1:21" ht="14.4" x14ac:dyDescent="0.3">
      <c r="A127" s="218" t="s">
        <v>434</v>
      </c>
      <c r="B127" s="217" t="s">
        <v>163</v>
      </c>
      <c r="C127" s="196"/>
      <c r="D127" s="197">
        <v>9.52</v>
      </c>
      <c r="E127" s="197">
        <v>0.95</v>
      </c>
      <c r="F127" s="197"/>
      <c r="G127" s="83">
        <v>1</v>
      </c>
      <c r="H127" s="198">
        <f t="shared" si="31"/>
        <v>9.0439999999999987</v>
      </c>
      <c r="I127" s="84"/>
      <c r="J127" s="148"/>
      <c r="K127" s="199" t="s">
        <v>3</v>
      </c>
      <c r="L127" s="53">
        <f t="shared" si="29"/>
        <v>9.0439999999999987</v>
      </c>
      <c r="M127" s="53"/>
      <c r="N127" s="53"/>
      <c r="O127" s="53"/>
      <c r="P127" s="53"/>
      <c r="Q127" s="53"/>
      <c r="R127" s="200"/>
      <c r="S127" s="200"/>
      <c r="T127" s="201">
        <f t="shared" si="30"/>
        <v>9.0439999999999987</v>
      </c>
    </row>
    <row r="128" spans="1:21" ht="14.4" x14ac:dyDescent="0.3">
      <c r="A128" s="218" t="s">
        <v>436</v>
      </c>
      <c r="B128" s="217" t="s">
        <v>164</v>
      </c>
      <c r="C128" s="196"/>
      <c r="D128" s="197">
        <v>5.99</v>
      </c>
      <c r="E128" s="197">
        <v>0.75</v>
      </c>
      <c r="F128" s="197"/>
      <c r="G128" s="83">
        <v>1</v>
      </c>
      <c r="H128" s="198">
        <f t="shared" si="31"/>
        <v>4.4924999999999997</v>
      </c>
      <c r="I128" s="84"/>
      <c r="J128" s="148"/>
      <c r="K128" s="199" t="s">
        <v>3</v>
      </c>
      <c r="L128" s="53">
        <f t="shared" si="29"/>
        <v>4.4924999999999997</v>
      </c>
      <c r="M128" s="53"/>
      <c r="N128" s="53"/>
      <c r="O128" s="53"/>
      <c r="P128" s="53"/>
      <c r="Q128" s="53"/>
      <c r="R128" s="200"/>
      <c r="S128" s="200"/>
      <c r="T128" s="201">
        <f t="shared" si="30"/>
        <v>4.4924999999999997</v>
      </c>
    </row>
    <row r="129" spans="1:21" ht="14.4" x14ac:dyDescent="0.25">
      <c r="B129" s="202" t="s">
        <v>27</v>
      </c>
      <c r="C129" s="210"/>
      <c r="D129" s="211"/>
      <c r="E129" s="12"/>
      <c r="F129" s="12"/>
      <c r="G129" s="215"/>
      <c r="H129" s="12"/>
      <c r="I129" s="12"/>
      <c r="J129" s="12"/>
      <c r="K129" s="14" t="s">
        <v>3</v>
      </c>
      <c r="L129" s="212"/>
      <c r="M129" s="212"/>
      <c r="N129" s="212"/>
      <c r="O129" s="212"/>
      <c r="P129" s="212"/>
      <c r="Q129" s="212"/>
      <c r="R129" s="212"/>
      <c r="S129" s="212"/>
      <c r="T129" s="213">
        <f>SUM(T123:T128)</f>
        <v>31.8063</v>
      </c>
      <c r="U129" s="1"/>
    </row>
    <row r="130" spans="1:21" ht="15" customHeight="1" x14ac:dyDescent="0.25"/>
    <row r="131" spans="1:21" ht="15" customHeight="1" x14ac:dyDescent="0.25"/>
    <row r="132" spans="1:21" ht="15.6" x14ac:dyDescent="0.25">
      <c r="B132" s="2" t="s">
        <v>155</v>
      </c>
      <c r="C132" s="3"/>
      <c r="D132" s="4"/>
      <c r="E132" s="4"/>
      <c r="F132" s="4"/>
      <c r="G132" s="3"/>
      <c r="H132" s="5"/>
      <c r="I132" s="6"/>
      <c r="J132" s="5"/>
      <c r="K132" s="79"/>
      <c r="L132" s="79"/>
      <c r="M132" s="79"/>
      <c r="N132" s="79"/>
      <c r="O132" s="79"/>
      <c r="P132" s="79"/>
      <c r="Q132" s="79"/>
      <c r="R132" s="184"/>
      <c r="S132" s="184"/>
      <c r="T132" s="185"/>
    </row>
    <row r="133" spans="1:21" ht="24" x14ac:dyDescent="0.3">
      <c r="B133" s="187" t="s">
        <v>157</v>
      </c>
      <c r="C133" s="188"/>
      <c r="D133" s="188"/>
      <c r="E133" s="188"/>
      <c r="F133" s="188"/>
      <c r="G133" s="188"/>
      <c r="H133" s="188"/>
      <c r="I133" s="188"/>
      <c r="J133" s="188"/>
      <c r="K133" s="188"/>
      <c r="L133" s="164" t="s">
        <v>167</v>
      </c>
      <c r="M133" s="164" t="s">
        <v>424</v>
      </c>
      <c r="N133" s="164" t="s">
        <v>426</v>
      </c>
      <c r="O133" s="164" t="s">
        <v>425</v>
      </c>
      <c r="P133" s="164" t="s">
        <v>427</v>
      </c>
      <c r="Q133" s="164" t="s">
        <v>428</v>
      </c>
      <c r="R133" s="164" t="s">
        <v>429</v>
      </c>
      <c r="S133" s="164" t="s">
        <v>616</v>
      </c>
      <c r="T133" s="183"/>
    </row>
    <row r="134" spans="1:21" ht="14.4" customHeight="1" x14ac:dyDescent="0.25">
      <c r="B134" s="835" t="s">
        <v>156</v>
      </c>
      <c r="C134" s="189" t="s">
        <v>0</v>
      </c>
      <c r="D134" s="190" t="s">
        <v>12</v>
      </c>
      <c r="E134" s="190" t="s">
        <v>4</v>
      </c>
      <c r="F134" s="190" t="s">
        <v>2</v>
      </c>
      <c r="G134" s="190" t="s">
        <v>6</v>
      </c>
      <c r="H134" s="190" t="s">
        <v>5</v>
      </c>
      <c r="I134" s="190" t="s">
        <v>35</v>
      </c>
      <c r="J134" s="191" t="s">
        <v>14</v>
      </c>
      <c r="K134" s="883" t="s">
        <v>154</v>
      </c>
      <c r="L134" s="831" t="s">
        <v>50</v>
      </c>
      <c r="M134" s="830" t="s">
        <v>93</v>
      </c>
      <c r="N134" s="830" t="s">
        <v>94</v>
      </c>
      <c r="O134" s="830" t="s">
        <v>95</v>
      </c>
      <c r="P134" s="830" t="s">
        <v>96</v>
      </c>
      <c r="Q134" s="830" t="s">
        <v>97</v>
      </c>
      <c r="R134" s="830" t="s">
        <v>98</v>
      </c>
      <c r="S134" s="830" t="s">
        <v>646</v>
      </c>
      <c r="T134" s="833" t="s">
        <v>8</v>
      </c>
    </row>
    <row r="135" spans="1:21" ht="14.4" x14ac:dyDescent="0.3">
      <c r="B135" s="882"/>
      <c r="C135" s="192" t="s">
        <v>9</v>
      </c>
      <c r="D135" s="193" t="s">
        <v>10</v>
      </c>
      <c r="E135" s="193" t="s">
        <v>10</v>
      </c>
      <c r="F135" s="193" t="s">
        <v>10</v>
      </c>
      <c r="G135" s="192" t="s">
        <v>9</v>
      </c>
      <c r="H135" s="192" t="s">
        <v>9</v>
      </c>
      <c r="I135" s="192" t="s">
        <v>9</v>
      </c>
      <c r="J135" s="194" t="s">
        <v>15</v>
      </c>
      <c r="K135" s="884"/>
      <c r="L135" s="830"/>
      <c r="M135" s="831"/>
      <c r="N135" s="831"/>
      <c r="O135" s="831"/>
      <c r="P135" s="831"/>
      <c r="Q135" s="831"/>
      <c r="R135" s="831"/>
      <c r="S135" s="831"/>
      <c r="T135" s="833"/>
    </row>
    <row r="136" spans="1:21" ht="14.4" x14ac:dyDescent="0.3">
      <c r="A136" s="378" t="s">
        <v>444</v>
      </c>
      <c r="B136" s="217" t="s">
        <v>158</v>
      </c>
      <c r="C136" s="196"/>
      <c r="D136" s="197">
        <v>1.2</v>
      </c>
      <c r="E136" s="197">
        <v>0.35</v>
      </c>
      <c r="F136" s="197"/>
      <c r="G136" s="83">
        <v>1</v>
      </c>
      <c r="H136" s="198">
        <f>D136*E136*G136</f>
        <v>0.42</v>
      </c>
      <c r="I136" s="84"/>
      <c r="J136" s="148"/>
      <c r="K136" s="199" t="s">
        <v>3</v>
      </c>
      <c r="L136" s="53">
        <f t="shared" ref="L136:L139" si="32">H136</f>
        <v>0.42</v>
      </c>
      <c r="M136" s="53"/>
      <c r="N136" s="53"/>
      <c r="O136" s="53"/>
      <c r="P136" s="53"/>
      <c r="Q136" s="53"/>
      <c r="R136" s="200"/>
      <c r="S136" s="200"/>
      <c r="T136" s="201">
        <f>SUM(L136:R136)</f>
        <v>0.42</v>
      </c>
    </row>
    <row r="137" spans="1:21" ht="14.4" x14ac:dyDescent="0.3">
      <c r="A137" s="378" t="s">
        <v>445</v>
      </c>
      <c r="B137" s="217" t="s">
        <v>158</v>
      </c>
      <c r="C137" s="196"/>
      <c r="D137" s="197">
        <v>1.24</v>
      </c>
      <c r="E137" s="197">
        <v>0.35</v>
      </c>
      <c r="F137" s="197"/>
      <c r="G137" s="83">
        <v>1</v>
      </c>
      <c r="H137" s="198">
        <f t="shared" ref="H137:H160" si="33">D137*E137*G137</f>
        <v>0.434</v>
      </c>
      <c r="I137" s="84"/>
      <c r="J137" s="148"/>
      <c r="K137" s="199" t="s">
        <v>3</v>
      </c>
      <c r="L137" s="53">
        <f t="shared" si="32"/>
        <v>0.434</v>
      </c>
      <c r="M137" s="53"/>
      <c r="N137" s="53"/>
      <c r="O137" s="53"/>
      <c r="P137" s="53"/>
      <c r="Q137" s="53"/>
      <c r="R137" s="200"/>
      <c r="S137" s="200"/>
      <c r="T137" s="201">
        <f>SUM(L137:R137)</f>
        <v>0.434</v>
      </c>
    </row>
    <row r="138" spans="1:21" ht="14.4" x14ac:dyDescent="0.3">
      <c r="A138" s="378" t="s">
        <v>446</v>
      </c>
      <c r="B138" s="217" t="s">
        <v>158</v>
      </c>
      <c r="C138" s="196"/>
      <c r="D138" s="197">
        <v>1.4</v>
      </c>
      <c r="E138" s="197">
        <v>0.35</v>
      </c>
      <c r="F138" s="197"/>
      <c r="G138" s="83">
        <v>1</v>
      </c>
      <c r="H138" s="198">
        <f t="shared" si="33"/>
        <v>0.48999999999999994</v>
      </c>
      <c r="I138" s="84"/>
      <c r="J138" s="148"/>
      <c r="K138" s="199" t="s">
        <v>3</v>
      </c>
      <c r="L138" s="53">
        <f t="shared" si="32"/>
        <v>0.48999999999999994</v>
      </c>
      <c r="M138" s="53"/>
      <c r="N138" s="53"/>
      <c r="O138" s="53"/>
      <c r="P138" s="53"/>
      <c r="Q138" s="53"/>
      <c r="R138" s="200"/>
      <c r="S138" s="200"/>
      <c r="T138" s="201">
        <f>SUM(L138:R138)</f>
        <v>0.48999999999999994</v>
      </c>
    </row>
    <row r="139" spans="1:21" ht="14.4" x14ac:dyDescent="0.3">
      <c r="A139" s="378" t="s">
        <v>447</v>
      </c>
      <c r="B139" s="217" t="s">
        <v>158</v>
      </c>
      <c r="C139" s="196"/>
      <c r="D139" s="197">
        <v>1.5</v>
      </c>
      <c r="E139" s="197">
        <v>0.35</v>
      </c>
      <c r="F139" s="197"/>
      <c r="G139" s="83">
        <v>1</v>
      </c>
      <c r="H139" s="198">
        <f t="shared" si="33"/>
        <v>0.52499999999999991</v>
      </c>
      <c r="I139" s="84"/>
      <c r="J139" s="148"/>
      <c r="K139" s="199" t="s">
        <v>3</v>
      </c>
      <c r="L139" s="53">
        <f t="shared" si="32"/>
        <v>0.52499999999999991</v>
      </c>
      <c r="M139" s="53"/>
      <c r="N139" s="53"/>
      <c r="O139" s="53"/>
      <c r="P139" s="53"/>
      <c r="Q139" s="53"/>
      <c r="R139" s="200"/>
      <c r="S139" s="200"/>
      <c r="T139" s="201">
        <f>SUM(L139:R139)</f>
        <v>0.52499999999999991</v>
      </c>
    </row>
    <row r="140" spans="1:21" ht="14.4" x14ac:dyDescent="0.3">
      <c r="A140" s="218" t="s">
        <v>444</v>
      </c>
      <c r="B140" s="217" t="s">
        <v>158</v>
      </c>
      <c r="C140" s="196"/>
      <c r="D140" s="197">
        <v>1.3</v>
      </c>
      <c r="E140" s="197">
        <v>0.35</v>
      </c>
      <c r="F140" s="197"/>
      <c r="G140" s="83">
        <v>1</v>
      </c>
      <c r="H140" s="198">
        <f t="shared" si="33"/>
        <v>0.45499999999999996</v>
      </c>
      <c r="I140" s="84"/>
      <c r="J140" s="148"/>
      <c r="K140" s="199" t="s">
        <v>3</v>
      </c>
      <c r="L140" s="53"/>
      <c r="M140" s="53">
        <f>H140</f>
        <v>0.45499999999999996</v>
      </c>
      <c r="N140" s="53"/>
      <c r="O140" s="53"/>
      <c r="P140" s="53"/>
      <c r="Q140" s="53"/>
      <c r="R140" s="200"/>
      <c r="S140" s="200"/>
      <c r="T140" s="201">
        <f>SUM(L140:R140)</f>
        <v>0.45499999999999996</v>
      </c>
    </row>
    <row r="141" spans="1:21" ht="14.4" x14ac:dyDescent="0.3">
      <c r="A141" s="218" t="s">
        <v>445</v>
      </c>
      <c r="B141" s="217" t="s">
        <v>158</v>
      </c>
      <c r="C141" s="196"/>
      <c r="D141" s="197">
        <v>1.45</v>
      </c>
      <c r="E141" s="197">
        <v>0.35</v>
      </c>
      <c r="F141" s="197"/>
      <c r="G141" s="83">
        <v>1</v>
      </c>
      <c r="H141" s="198">
        <f t="shared" si="33"/>
        <v>0.50749999999999995</v>
      </c>
      <c r="I141" s="84"/>
      <c r="J141" s="148"/>
      <c r="K141" s="199" t="s">
        <v>3</v>
      </c>
      <c r="L141" s="53"/>
      <c r="M141" s="53">
        <f t="shared" ref="M141:M143" si="34">H141</f>
        <v>0.50749999999999995</v>
      </c>
      <c r="N141" s="53"/>
      <c r="O141" s="53"/>
      <c r="P141" s="53"/>
      <c r="Q141" s="53"/>
      <c r="R141" s="200"/>
      <c r="S141" s="200"/>
      <c r="T141" s="201">
        <f t="shared" ref="T141:T160" si="35">SUM(L141:R141)</f>
        <v>0.50749999999999995</v>
      </c>
    </row>
    <row r="142" spans="1:21" ht="14.4" x14ac:dyDescent="0.3">
      <c r="A142" s="218" t="s">
        <v>446</v>
      </c>
      <c r="B142" s="217" t="s">
        <v>158</v>
      </c>
      <c r="C142" s="196"/>
      <c r="D142" s="197">
        <v>1.5</v>
      </c>
      <c r="E142" s="197">
        <v>0.35</v>
      </c>
      <c r="F142" s="197"/>
      <c r="G142" s="83">
        <v>1</v>
      </c>
      <c r="H142" s="198">
        <f t="shared" si="33"/>
        <v>0.52499999999999991</v>
      </c>
      <c r="I142" s="84"/>
      <c r="J142" s="148"/>
      <c r="K142" s="199" t="s">
        <v>3</v>
      </c>
      <c r="L142" s="53"/>
      <c r="M142" s="53">
        <f t="shared" si="34"/>
        <v>0.52499999999999991</v>
      </c>
      <c r="N142" s="53"/>
      <c r="O142" s="53"/>
      <c r="P142" s="53"/>
      <c r="Q142" s="53"/>
      <c r="R142" s="200"/>
      <c r="S142" s="200"/>
      <c r="T142" s="201">
        <f t="shared" si="35"/>
        <v>0.52499999999999991</v>
      </c>
    </row>
    <row r="143" spans="1:21" ht="14.4" x14ac:dyDescent="0.3">
      <c r="A143" s="218" t="s">
        <v>447</v>
      </c>
      <c r="B143" s="217" t="s">
        <v>257</v>
      </c>
      <c r="C143" s="196"/>
      <c r="D143" s="197">
        <v>2.2000000000000002</v>
      </c>
      <c r="E143" s="197">
        <v>0.35</v>
      </c>
      <c r="F143" s="197"/>
      <c r="G143" s="83">
        <v>1</v>
      </c>
      <c r="H143" s="198">
        <f t="shared" si="33"/>
        <v>0.77</v>
      </c>
      <c r="I143" s="84"/>
      <c r="J143" s="148"/>
      <c r="K143" s="199" t="s">
        <v>3</v>
      </c>
      <c r="L143" s="53"/>
      <c r="M143" s="53">
        <f t="shared" si="34"/>
        <v>0.77</v>
      </c>
      <c r="N143" s="53"/>
      <c r="O143" s="53"/>
      <c r="P143" s="53"/>
      <c r="Q143" s="53"/>
      <c r="R143" s="200"/>
      <c r="S143" s="200"/>
      <c r="T143" s="201">
        <f t="shared" si="35"/>
        <v>0.77</v>
      </c>
    </row>
    <row r="144" spans="1:21" ht="14.4" x14ac:dyDescent="0.3">
      <c r="A144" s="218" t="s">
        <v>444</v>
      </c>
      <c r="B144" s="217" t="s">
        <v>158</v>
      </c>
      <c r="C144" s="196"/>
      <c r="D144" s="197">
        <v>1.48</v>
      </c>
      <c r="E144" s="197">
        <v>0.35</v>
      </c>
      <c r="F144" s="197"/>
      <c r="G144" s="83">
        <v>1</v>
      </c>
      <c r="H144" s="198">
        <f t="shared" si="33"/>
        <v>0.51800000000000002</v>
      </c>
      <c r="I144" s="84"/>
      <c r="J144" s="148"/>
      <c r="K144" s="199" t="s">
        <v>3</v>
      </c>
      <c r="L144" s="53"/>
      <c r="M144" s="53"/>
      <c r="N144" s="53">
        <f>H144</f>
        <v>0.51800000000000002</v>
      </c>
      <c r="O144" s="53"/>
      <c r="P144" s="53"/>
      <c r="Q144" s="53"/>
      <c r="R144" s="200"/>
      <c r="S144" s="200"/>
      <c r="T144" s="201">
        <f t="shared" si="35"/>
        <v>0.51800000000000002</v>
      </c>
    </row>
    <row r="145" spans="1:20" ht="14.4" x14ac:dyDescent="0.3">
      <c r="A145" s="218" t="s">
        <v>444</v>
      </c>
      <c r="B145" s="217" t="s">
        <v>158</v>
      </c>
      <c r="C145" s="196"/>
      <c r="D145" s="197">
        <v>1.2</v>
      </c>
      <c r="E145" s="197">
        <v>0.35</v>
      </c>
      <c r="F145" s="197"/>
      <c r="G145" s="83">
        <v>1</v>
      </c>
      <c r="H145" s="375">
        <f t="shared" si="33"/>
        <v>0.42</v>
      </c>
      <c r="I145" s="84"/>
      <c r="J145" s="148"/>
      <c r="K145" s="199" t="s">
        <v>3</v>
      </c>
      <c r="L145" s="53"/>
      <c r="M145" s="53"/>
      <c r="N145" s="53"/>
      <c r="O145" s="53">
        <f>H145</f>
        <v>0.42</v>
      </c>
      <c r="P145" s="53"/>
      <c r="Q145" s="53"/>
      <c r="R145" s="200"/>
      <c r="S145" s="200"/>
      <c r="T145" s="201">
        <f t="shared" si="35"/>
        <v>0.42</v>
      </c>
    </row>
    <row r="146" spans="1:20" ht="14.4" x14ac:dyDescent="0.3">
      <c r="A146" s="218" t="s">
        <v>445</v>
      </c>
      <c r="B146" s="217" t="s">
        <v>257</v>
      </c>
      <c r="C146" s="196"/>
      <c r="D146" s="197">
        <v>2.4500000000000002</v>
      </c>
      <c r="E146" s="197">
        <v>0.35</v>
      </c>
      <c r="F146" s="197"/>
      <c r="G146" s="83">
        <v>1</v>
      </c>
      <c r="H146" s="375">
        <f t="shared" si="33"/>
        <v>0.85750000000000004</v>
      </c>
      <c r="I146" s="84"/>
      <c r="J146" s="148"/>
      <c r="K146" s="199" t="s">
        <v>3</v>
      </c>
      <c r="L146" s="53"/>
      <c r="M146" s="53"/>
      <c r="N146" s="53"/>
      <c r="O146" s="53">
        <f t="shared" ref="O146:O148" si="36">H146</f>
        <v>0.85750000000000004</v>
      </c>
      <c r="P146" s="53"/>
      <c r="Q146" s="53"/>
      <c r="R146" s="200"/>
      <c r="S146" s="200"/>
      <c r="T146" s="201">
        <f t="shared" si="35"/>
        <v>0.85750000000000004</v>
      </c>
    </row>
    <row r="147" spans="1:20" ht="14.4" x14ac:dyDescent="0.3">
      <c r="A147" s="218" t="s">
        <v>446</v>
      </c>
      <c r="B147" s="217" t="s">
        <v>282</v>
      </c>
      <c r="C147" s="196"/>
      <c r="D147" s="197">
        <v>2.4500000000000002</v>
      </c>
      <c r="E147" s="197">
        <v>0.6</v>
      </c>
      <c r="F147" s="197"/>
      <c r="G147" s="83">
        <v>2</v>
      </c>
      <c r="H147" s="375">
        <f t="shared" si="33"/>
        <v>2.94</v>
      </c>
      <c r="I147" s="84"/>
      <c r="J147" s="148"/>
      <c r="K147" s="199" t="s">
        <v>3</v>
      </c>
      <c r="L147" s="53"/>
      <c r="M147" s="53"/>
      <c r="N147" s="53"/>
      <c r="O147" s="53">
        <f t="shared" si="36"/>
        <v>2.94</v>
      </c>
      <c r="P147" s="53"/>
      <c r="Q147" s="53"/>
      <c r="R147" s="200"/>
      <c r="S147" s="200"/>
      <c r="T147" s="201">
        <f t="shared" si="35"/>
        <v>2.94</v>
      </c>
    </row>
    <row r="148" spans="1:20" ht="14.4" x14ac:dyDescent="0.3">
      <c r="A148" s="218" t="s">
        <v>446</v>
      </c>
      <c r="B148" s="217" t="s">
        <v>282</v>
      </c>
      <c r="C148" s="196"/>
      <c r="D148" s="197">
        <v>2.4500000000000002</v>
      </c>
      <c r="E148" s="197">
        <v>0.35</v>
      </c>
      <c r="F148" s="197"/>
      <c r="G148" s="83">
        <v>1</v>
      </c>
      <c r="H148" s="375">
        <f t="shared" si="33"/>
        <v>0.85750000000000004</v>
      </c>
      <c r="I148" s="84"/>
      <c r="J148" s="148"/>
      <c r="K148" s="199" t="s">
        <v>3</v>
      </c>
      <c r="L148" s="53"/>
      <c r="M148" s="53"/>
      <c r="N148" s="53"/>
      <c r="O148" s="53">
        <f t="shared" si="36"/>
        <v>0.85750000000000004</v>
      </c>
      <c r="P148" s="53"/>
      <c r="Q148" s="53"/>
      <c r="R148" s="200"/>
      <c r="S148" s="200"/>
      <c r="T148" s="201">
        <f t="shared" si="35"/>
        <v>0.85750000000000004</v>
      </c>
    </row>
    <row r="149" spans="1:20" ht="14.4" x14ac:dyDescent="0.3">
      <c r="A149" s="218" t="s">
        <v>444</v>
      </c>
      <c r="B149" s="217" t="s">
        <v>158</v>
      </c>
      <c r="C149" s="196"/>
      <c r="D149" s="197">
        <v>0.7</v>
      </c>
      <c r="E149" s="197">
        <v>0.35</v>
      </c>
      <c r="F149" s="197"/>
      <c r="G149" s="83">
        <v>1</v>
      </c>
      <c r="H149" s="375">
        <f t="shared" si="33"/>
        <v>0.24499999999999997</v>
      </c>
      <c r="I149" s="84"/>
      <c r="J149" s="148"/>
      <c r="K149" s="199" t="s">
        <v>3</v>
      </c>
      <c r="L149" s="53"/>
      <c r="M149" s="53"/>
      <c r="N149" s="53"/>
      <c r="O149" s="53"/>
      <c r="P149" s="53">
        <f>H149</f>
        <v>0.24499999999999997</v>
      </c>
      <c r="Q149" s="53"/>
      <c r="R149" s="200"/>
      <c r="S149" s="200"/>
      <c r="T149" s="201">
        <f t="shared" si="35"/>
        <v>0.24499999999999997</v>
      </c>
    </row>
    <row r="150" spans="1:20" ht="14.4" x14ac:dyDescent="0.3">
      <c r="A150" s="218" t="s">
        <v>445</v>
      </c>
      <c r="B150" s="217" t="s">
        <v>158</v>
      </c>
      <c r="C150" s="196"/>
      <c r="D150" s="197">
        <v>1.2</v>
      </c>
      <c r="E150" s="197">
        <v>0.35</v>
      </c>
      <c r="F150" s="197"/>
      <c r="G150" s="83">
        <v>1</v>
      </c>
      <c r="H150" s="375">
        <f t="shared" si="33"/>
        <v>0.42</v>
      </c>
      <c r="I150" s="84"/>
      <c r="J150" s="148"/>
      <c r="K150" s="199" t="s">
        <v>3</v>
      </c>
      <c r="L150" s="53"/>
      <c r="M150" s="53"/>
      <c r="N150" s="53"/>
      <c r="O150" s="53"/>
      <c r="P150" s="53">
        <f t="shared" ref="P150:P156" si="37">H150</f>
        <v>0.42</v>
      </c>
      <c r="Q150" s="53"/>
      <c r="R150" s="200"/>
      <c r="S150" s="200"/>
      <c r="T150" s="201">
        <f t="shared" si="35"/>
        <v>0.42</v>
      </c>
    </row>
    <row r="151" spans="1:20" ht="14.4" x14ac:dyDescent="0.3">
      <c r="A151" s="218" t="s">
        <v>446</v>
      </c>
      <c r="B151" s="217" t="s">
        <v>282</v>
      </c>
      <c r="C151" s="196"/>
      <c r="D151" s="197">
        <v>1.49</v>
      </c>
      <c r="E151" s="197">
        <v>0.6</v>
      </c>
      <c r="F151" s="197"/>
      <c r="G151" s="83">
        <v>2</v>
      </c>
      <c r="H151" s="375">
        <f t="shared" si="33"/>
        <v>1.788</v>
      </c>
      <c r="I151" s="84"/>
      <c r="J151" s="148"/>
      <c r="K151" s="199" t="s">
        <v>3</v>
      </c>
      <c r="L151" s="53"/>
      <c r="M151" s="53"/>
      <c r="N151" s="53"/>
      <c r="O151" s="53"/>
      <c r="P151" s="53">
        <f t="shared" si="37"/>
        <v>1.788</v>
      </c>
      <c r="Q151" s="53"/>
      <c r="R151" s="200"/>
      <c r="S151" s="200"/>
      <c r="T151" s="201">
        <f t="shared" si="35"/>
        <v>1.788</v>
      </c>
    </row>
    <row r="152" spans="1:20" ht="14.4" x14ac:dyDescent="0.3">
      <c r="A152" s="218" t="s">
        <v>446</v>
      </c>
      <c r="B152" s="217" t="s">
        <v>282</v>
      </c>
      <c r="C152" s="196"/>
      <c r="D152" s="197">
        <v>1.49</v>
      </c>
      <c r="E152" s="197">
        <v>0.35</v>
      </c>
      <c r="F152" s="197"/>
      <c r="G152" s="83">
        <v>1</v>
      </c>
      <c r="H152" s="375">
        <f t="shared" si="33"/>
        <v>0.52149999999999996</v>
      </c>
      <c r="I152" s="84"/>
      <c r="J152" s="148"/>
      <c r="K152" s="199" t="s">
        <v>3</v>
      </c>
      <c r="L152" s="53"/>
      <c r="M152" s="53"/>
      <c r="N152" s="53"/>
      <c r="O152" s="53"/>
      <c r="P152" s="53">
        <f t="shared" si="37"/>
        <v>0.52149999999999996</v>
      </c>
      <c r="Q152" s="53"/>
      <c r="R152" s="200"/>
      <c r="S152" s="200"/>
      <c r="T152" s="201">
        <f t="shared" si="35"/>
        <v>0.52149999999999996</v>
      </c>
    </row>
    <row r="153" spans="1:20" ht="14.4" x14ac:dyDescent="0.3">
      <c r="A153" s="218" t="s">
        <v>447</v>
      </c>
      <c r="B153" s="217" t="s">
        <v>282</v>
      </c>
      <c r="C153" s="196"/>
      <c r="D153" s="197">
        <v>1.75</v>
      </c>
      <c r="E153" s="197">
        <v>0.6</v>
      </c>
      <c r="F153" s="197"/>
      <c r="G153" s="83">
        <v>2</v>
      </c>
      <c r="H153" s="375">
        <f t="shared" si="33"/>
        <v>2.1</v>
      </c>
      <c r="I153" s="84"/>
      <c r="J153" s="148"/>
      <c r="K153" s="199" t="s">
        <v>3</v>
      </c>
      <c r="L153" s="53"/>
      <c r="M153" s="53"/>
      <c r="N153" s="53"/>
      <c r="O153" s="53"/>
      <c r="P153" s="53">
        <f t="shared" si="37"/>
        <v>2.1</v>
      </c>
      <c r="Q153" s="53"/>
      <c r="R153" s="200"/>
      <c r="S153" s="200"/>
      <c r="T153" s="201">
        <f t="shared" si="35"/>
        <v>2.1</v>
      </c>
    </row>
    <row r="154" spans="1:20" ht="14.4" x14ac:dyDescent="0.3">
      <c r="A154" s="218" t="s">
        <v>447</v>
      </c>
      <c r="B154" s="217" t="s">
        <v>282</v>
      </c>
      <c r="C154" s="196"/>
      <c r="D154" s="197">
        <v>1.75</v>
      </c>
      <c r="E154" s="197">
        <v>0.35</v>
      </c>
      <c r="F154" s="197"/>
      <c r="G154" s="83">
        <v>1</v>
      </c>
      <c r="H154" s="375">
        <f t="shared" si="33"/>
        <v>0.61249999999999993</v>
      </c>
      <c r="I154" s="84"/>
      <c r="J154" s="148"/>
      <c r="K154" s="199" t="s">
        <v>3</v>
      </c>
      <c r="L154" s="53"/>
      <c r="M154" s="53"/>
      <c r="N154" s="53"/>
      <c r="O154" s="53"/>
      <c r="P154" s="53">
        <f t="shared" si="37"/>
        <v>0.61249999999999993</v>
      </c>
      <c r="Q154" s="53"/>
      <c r="R154" s="200"/>
      <c r="S154" s="200"/>
      <c r="T154" s="201">
        <f t="shared" si="35"/>
        <v>0.61249999999999993</v>
      </c>
    </row>
    <row r="155" spans="1:20" ht="14.4" x14ac:dyDescent="0.3">
      <c r="A155" s="218" t="s">
        <v>457</v>
      </c>
      <c r="B155" s="217" t="s">
        <v>158</v>
      </c>
      <c r="C155" s="196"/>
      <c r="D155" s="197">
        <v>2.4500000000000002</v>
      </c>
      <c r="E155" s="197">
        <v>0.35</v>
      </c>
      <c r="F155" s="197"/>
      <c r="G155" s="83">
        <v>1</v>
      </c>
      <c r="H155" s="375">
        <f t="shared" si="33"/>
        <v>0.85750000000000004</v>
      </c>
      <c r="I155" s="84"/>
      <c r="J155" s="148"/>
      <c r="K155" s="199" t="s">
        <v>3</v>
      </c>
      <c r="L155" s="53"/>
      <c r="M155" s="53"/>
      <c r="N155" s="53"/>
      <c r="O155" s="53"/>
      <c r="P155" s="53">
        <f t="shared" si="37"/>
        <v>0.85750000000000004</v>
      </c>
      <c r="Q155" s="53"/>
      <c r="R155" s="200"/>
      <c r="S155" s="200"/>
      <c r="T155" s="201">
        <f t="shared" si="35"/>
        <v>0.85750000000000004</v>
      </c>
    </row>
    <row r="156" spans="1:20" ht="14.4" x14ac:dyDescent="0.3">
      <c r="A156" s="218" t="s">
        <v>458</v>
      </c>
      <c r="B156" s="217" t="s">
        <v>158</v>
      </c>
      <c r="C156" s="196"/>
      <c r="D156" s="197">
        <v>2.5499999999999998</v>
      </c>
      <c r="E156" s="197">
        <v>0.35</v>
      </c>
      <c r="F156" s="197"/>
      <c r="G156" s="83">
        <v>1</v>
      </c>
      <c r="H156" s="375">
        <f t="shared" si="33"/>
        <v>0.89249999999999985</v>
      </c>
      <c r="I156" s="84"/>
      <c r="J156" s="148"/>
      <c r="K156" s="199" t="s">
        <v>3</v>
      </c>
      <c r="L156" s="53"/>
      <c r="M156" s="53"/>
      <c r="N156" s="53"/>
      <c r="O156" s="53"/>
      <c r="P156" s="53">
        <f t="shared" si="37"/>
        <v>0.89249999999999985</v>
      </c>
      <c r="Q156" s="53"/>
      <c r="R156" s="200"/>
      <c r="S156" s="200"/>
      <c r="T156" s="201">
        <f t="shared" si="35"/>
        <v>0.89249999999999985</v>
      </c>
    </row>
    <row r="157" spans="1:20" ht="14.4" x14ac:dyDescent="0.3">
      <c r="A157" s="218" t="s">
        <v>444</v>
      </c>
      <c r="B157" s="217" t="s">
        <v>158</v>
      </c>
      <c r="C157" s="196"/>
      <c r="D157" s="197">
        <v>1.8</v>
      </c>
      <c r="E157" s="197">
        <v>0.35</v>
      </c>
      <c r="F157" s="197"/>
      <c r="G157" s="83">
        <v>1</v>
      </c>
      <c r="H157" s="375">
        <f t="shared" si="33"/>
        <v>0.63</v>
      </c>
      <c r="I157" s="84"/>
      <c r="J157" s="148"/>
      <c r="K157" s="199" t="s">
        <v>3</v>
      </c>
      <c r="L157" s="53"/>
      <c r="M157" s="53"/>
      <c r="N157" s="53"/>
      <c r="O157" s="53"/>
      <c r="P157" s="53"/>
      <c r="Q157" s="53">
        <f>H157</f>
        <v>0.63</v>
      </c>
      <c r="R157" s="200"/>
      <c r="S157" s="200"/>
      <c r="T157" s="201">
        <f t="shared" si="35"/>
        <v>0.63</v>
      </c>
    </row>
    <row r="158" spans="1:20" ht="14.4" x14ac:dyDescent="0.3">
      <c r="A158" s="218" t="s">
        <v>445</v>
      </c>
      <c r="B158" s="157" t="s">
        <v>257</v>
      </c>
      <c r="C158" s="217"/>
      <c r="D158" s="197">
        <v>2.89</v>
      </c>
      <c r="E158" s="197">
        <v>0.35</v>
      </c>
      <c r="F158" s="197"/>
      <c r="G158" s="83">
        <v>1</v>
      </c>
      <c r="H158" s="375">
        <f t="shared" si="33"/>
        <v>1.0115000000000001</v>
      </c>
      <c r="I158" s="84"/>
      <c r="J158" s="148"/>
      <c r="K158" s="199" t="s">
        <v>3</v>
      </c>
      <c r="L158" s="53"/>
      <c r="M158" s="53"/>
      <c r="N158" s="53"/>
      <c r="O158" s="53"/>
      <c r="P158" s="53"/>
      <c r="Q158" s="53">
        <f>H158</f>
        <v>1.0115000000000001</v>
      </c>
      <c r="R158" s="200"/>
      <c r="S158" s="200"/>
      <c r="T158" s="201">
        <f t="shared" si="35"/>
        <v>1.0115000000000001</v>
      </c>
    </row>
    <row r="159" spans="1:20" ht="14.4" x14ac:dyDescent="0.3">
      <c r="A159" s="218" t="s">
        <v>444</v>
      </c>
      <c r="B159" s="157" t="s">
        <v>158</v>
      </c>
      <c r="C159" s="217"/>
      <c r="D159" s="197">
        <v>1.4</v>
      </c>
      <c r="E159" s="197">
        <v>0.35</v>
      </c>
      <c r="F159" s="197"/>
      <c r="G159" s="83">
        <v>1</v>
      </c>
      <c r="H159" s="375">
        <f t="shared" si="33"/>
        <v>0.48999999999999994</v>
      </c>
      <c r="I159" s="84"/>
      <c r="J159" s="148"/>
      <c r="K159" s="199" t="s">
        <v>3</v>
      </c>
      <c r="L159" s="53"/>
      <c r="M159" s="53"/>
      <c r="N159" s="53"/>
      <c r="O159" s="53"/>
      <c r="P159" s="53"/>
      <c r="Q159" s="53"/>
      <c r="R159" s="200">
        <f>H159</f>
        <v>0.48999999999999994</v>
      </c>
      <c r="S159" s="200"/>
      <c r="T159" s="201">
        <f t="shared" si="35"/>
        <v>0.48999999999999994</v>
      </c>
    </row>
    <row r="160" spans="1:20" ht="14.4" x14ac:dyDescent="0.3">
      <c r="A160" s="218" t="s">
        <v>445</v>
      </c>
      <c r="B160" s="199" t="s">
        <v>257</v>
      </c>
      <c r="C160" s="196"/>
      <c r="D160" s="197">
        <v>2.4500000000000002</v>
      </c>
      <c r="E160" s="197">
        <v>0.35</v>
      </c>
      <c r="F160" s="197"/>
      <c r="G160" s="83">
        <v>1</v>
      </c>
      <c r="H160" s="375">
        <f t="shared" si="33"/>
        <v>0.85750000000000004</v>
      </c>
      <c r="I160" s="84"/>
      <c r="J160" s="148"/>
      <c r="K160" s="199" t="s">
        <v>3</v>
      </c>
      <c r="L160" s="53"/>
      <c r="M160" s="53"/>
      <c r="N160" s="53"/>
      <c r="O160" s="53"/>
      <c r="P160" s="53"/>
      <c r="Q160" s="53"/>
      <c r="R160" s="200">
        <f>H160</f>
        <v>0.85750000000000004</v>
      </c>
      <c r="S160" s="200"/>
      <c r="T160" s="201">
        <f t="shared" si="35"/>
        <v>0.85750000000000004</v>
      </c>
    </row>
    <row r="161" spans="2:20" ht="14.4" x14ac:dyDescent="0.25">
      <c r="B161" s="202" t="s">
        <v>27</v>
      </c>
      <c r="C161" s="210"/>
      <c r="D161" s="211"/>
      <c r="E161" s="12"/>
      <c r="F161" s="12"/>
      <c r="G161" s="215"/>
      <c r="H161" s="12"/>
      <c r="I161" s="12"/>
      <c r="J161" s="12"/>
      <c r="K161" s="14" t="s">
        <v>3</v>
      </c>
      <c r="L161" s="212"/>
      <c r="M161" s="212"/>
      <c r="N161" s="212"/>
      <c r="O161" s="212"/>
      <c r="P161" s="212"/>
      <c r="Q161" s="212"/>
      <c r="R161" s="212"/>
      <c r="S161" s="212"/>
      <c r="T161" s="213">
        <f>SUM(T136:T160)</f>
        <v>20.145499999999998</v>
      </c>
    </row>
  </sheetData>
  <mergeCells count="110">
    <mergeCell ref="S37:S38"/>
    <mergeCell ref="S23:S24"/>
    <mergeCell ref="S10:S11"/>
    <mergeCell ref="S62:S63"/>
    <mergeCell ref="S77:S78"/>
    <mergeCell ref="S86:S87"/>
    <mergeCell ref="S95:S96"/>
    <mergeCell ref="S109:S110"/>
    <mergeCell ref="S121:S122"/>
    <mergeCell ref="B23:B24"/>
    <mergeCell ref="K23:K24"/>
    <mergeCell ref="L23:L24"/>
    <mergeCell ref="M23:M24"/>
    <mergeCell ref="N23:N24"/>
    <mergeCell ref="O77:O78"/>
    <mergeCell ref="P77:P78"/>
    <mergeCell ref="Q77:Q78"/>
    <mergeCell ref="R77:R78"/>
    <mergeCell ref="B77:B78"/>
    <mergeCell ref="K77:K78"/>
    <mergeCell ref="L77:L78"/>
    <mergeCell ref="M77:M78"/>
    <mergeCell ref="N77:N78"/>
    <mergeCell ref="B62:B63"/>
    <mergeCell ref="K62:K63"/>
    <mergeCell ref="L62:L63"/>
    <mergeCell ref="M62:M63"/>
    <mergeCell ref="N62:N63"/>
    <mergeCell ref="O23:O24"/>
    <mergeCell ref="P23:P24"/>
    <mergeCell ref="Q23:Q24"/>
    <mergeCell ref="R23:R24"/>
    <mergeCell ref="O62:O63"/>
    <mergeCell ref="T62:T63"/>
    <mergeCell ref="O109:O110"/>
    <mergeCell ref="P109:P110"/>
    <mergeCell ref="M109:M110"/>
    <mergeCell ref="N109:N110"/>
    <mergeCell ref="Q109:Q110"/>
    <mergeCell ref="R109:R110"/>
    <mergeCell ref="R95:R96"/>
    <mergeCell ref="Q95:Q96"/>
    <mergeCell ref="T86:T87"/>
    <mergeCell ref="M86:M87"/>
    <mergeCell ref="N86:N87"/>
    <mergeCell ref="O86:O87"/>
    <mergeCell ref="P86:P87"/>
    <mergeCell ref="Q86:Q87"/>
    <mergeCell ref="T109:T110"/>
    <mergeCell ref="T37:T38"/>
    <mergeCell ref="T95:T96"/>
    <mergeCell ref="T23:T24"/>
    <mergeCell ref="T77:T78"/>
    <mergeCell ref="B10:B11"/>
    <mergeCell ref="K10:K11"/>
    <mergeCell ref="L10:L11"/>
    <mergeCell ref="R10:R11"/>
    <mergeCell ref="T10:T11"/>
    <mergeCell ref="M10:M11"/>
    <mergeCell ref="N10:N11"/>
    <mergeCell ref="O10:O11"/>
    <mergeCell ref="P10:P11"/>
    <mergeCell ref="Q10:Q11"/>
    <mergeCell ref="Q37:Q38"/>
    <mergeCell ref="R37:R38"/>
    <mergeCell ref="B95:B96"/>
    <mergeCell ref="K95:K96"/>
    <mergeCell ref="L95:L96"/>
    <mergeCell ref="M95:M96"/>
    <mergeCell ref="N95:N96"/>
    <mergeCell ref="O95:O96"/>
    <mergeCell ref="P95:P96"/>
    <mergeCell ref="P62:P63"/>
    <mergeCell ref="B134:B135"/>
    <mergeCell ref="K134:K135"/>
    <mergeCell ref="L134:L135"/>
    <mergeCell ref="R134:R135"/>
    <mergeCell ref="T134:T135"/>
    <mergeCell ref="M134:M135"/>
    <mergeCell ref="N134:N135"/>
    <mergeCell ref="O134:O135"/>
    <mergeCell ref="P134:P135"/>
    <mergeCell ref="Q134:Q135"/>
    <mergeCell ref="S134:S135"/>
    <mergeCell ref="B121:B122"/>
    <mergeCell ref="K121:K122"/>
    <mergeCell ref="L121:L122"/>
    <mergeCell ref="R121:R122"/>
    <mergeCell ref="T121:T122"/>
    <mergeCell ref="M121:M122"/>
    <mergeCell ref="N121:N122"/>
    <mergeCell ref="O121:O122"/>
    <mergeCell ref="P121:P122"/>
    <mergeCell ref="Q121:Q122"/>
    <mergeCell ref="N37:N38"/>
    <mergeCell ref="O37:O38"/>
    <mergeCell ref="P37:P38"/>
    <mergeCell ref="L86:L87"/>
    <mergeCell ref="R86:R87"/>
    <mergeCell ref="Q62:Q63"/>
    <mergeCell ref="R62:R63"/>
    <mergeCell ref="B109:B110"/>
    <mergeCell ref="K109:K110"/>
    <mergeCell ref="L109:L110"/>
    <mergeCell ref="B86:B87"/>
    <mergeCell ref="K86:K87"/>
    <mergeCell ref="B37:B38"/>
    <mergeCell ref="K37:K38"/>
    <mergeCell ref="L37:L38"/>
    <mergeCell ref="M37:M3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Q15"/>
  <sheetViews>
    <sheetView workbookViewId="0">
      <selection activeCell="Q15" sqref="Q15"/>
    </sheetView>
  </sheetViews>
  <sheetFormatPr defaultRowHeight="13.2" x14ac:dyDescent="0.25"/>
  <cols>
    <col min="2" max="2" width="34.6640625" customWidth="1"/>
    <col min="3" max="3" width="11.44140625" customWidth="1"/>
    <col min="4" max="4" width="14.109375" customWidth="1"/>
    <col min="7" max="7" width="10.109375" customWidth="1"/>
  </cols>
  <sheetData>
    <row r="2" spans="2:17" ht="15" customHeight="1" x14ac:dyDescent="0.25">
      <c r="B2" s="152" t="s">
        <v>55</v>
      </c>
    </row>
    <row r="3" spans="2:17" ht="15" customHeight="1" x14ac:dyDescent="0.25">
      <c r="B3" s="152" t="s">
        <v>56</v>
      </c>
    </row>
    <row r="4" spans="2:17" ht="15" customHeight="1" x14ac:dyDescent="0.25">
      <c r="B4" s="154" t="s">
        <v>54</v>
      </c>
    </row>
    <row r="6" spans="2:17" ht="15.6" x14ac:dyDescent="0.25">
      <c r="B6" s="161" t="s">
        <v>380</v>
      </c>
    </row>
    <row r="7" spans="2:17" ht="15" customHeight="1" x14ac:dyDescent="0.25"/>
    <row r="8" spans="2:17" ht="24" x14ac:dyDescent="0.25">
      <c r="B8" s="402" t="s">
        <v>590</v>
      </c>
      <c r="C8" s="184"/>
      <c r="D8" s="184"/>
      <c r="E8" s="184"/>
      <c r="F8" s="184"/>
      <c r="G8" s="184"/>
      <c r="H8" s="184"/>
      <c r="I8" s="403"/>
      <c r="J8" s="376" t="s">
        <v>57</v>
      </c>
      <c r="K8" s="376" t="s">
        <v>204</v>
      </c>
      <c r="L8" s="376" t="s">
        <v>64</v>
      </c>
      <c r="M8" s="376" t="s">
        <v>65</v>
      </c>
      <c r="N8" s="376" t="s">
        <v>66</v>
      </c>
      <c r="O8" s="376" t="s">
        <v>67</v>
      </c>
      <c r="P8" s="376" t="s">
        <v>68</v>
      </c>
      <c r="Q8" s="185"/>
    </row>
    <row r="9" spans="2:17" ht="14.4" x14ac:dyDescent="0.25">
      <c r="B9" s="834" t="s">
        <v>156</v>
      </c>
      <c r="C9" s="189" t="s">
        <v>0</v>
      </c>
      <c r="D9" s="404" t="s">
        <v>12</v>
      </c>
      <c r="E9" s="404" t="s">
        <v>4</v>
      </c>
      <c r="F9" s="404" t="s">
        <v>2</v>
      </c>
      <c r="G9" s="404" t="s">
        <v>6</v>
      </c>
      <c r="H9" s="446" t="s">
        <v>5</v>
      </c>
      <c r="I9" s="836" t="s">
        <v>154</v>
      </c>
      <c r="J9" s="831" t="s">
        <v>50</v>
      </c>
      <c r="K9" s="830" t="s">
        <v>93</v>
      </c>
      <c r="L9" s="830" t="s">
        <v>94</v>
      </c>
      <c r="M9" s="830" t="s">
        <v>95</v>
      </c>
      <c r="N9" s="830" t="s">
        <v>96</v>
      </c>
      <c r="O9" s="830" t="s">
        <v>97</v>
      </c>
      <c r="P9" s="830" t="s">
        <v>98</v>
      </c>
      <c r="Q9" s="833" t="s">
        <v>8</v>
      </c>
    </row>
    <row r="10" spans="2:17" ht="14.4" x14ac:dyDescent="0.3">
      <c r="B10" s="834"/>
      <c r="C10" s="405" t="s">
        <v>9</v>
      </c>
      <c r="D10" s="406" t="s">
        <v>10</v>
      </c>
      <c r="E10" s="406" t="s">
        <v>10</v>
      </c>
      <c r="F10" s="406" t="s">
        <v>10</v>
      </c>
      <c r="G10" s="405" t="s">
        <v>9</v>
      </c>
      <c r="H10" s="458" t="s">
        <v>11</v>
      </c>
      <c r="I10" s="836"/>
      <c r="J10" s="830"/>
      <c r="K10" s="837"/>
      <c r="L10" s="837"/>
      <c r="M10" s="837"/>
      <c r="N10" s="837"/>
      <c r="O10" s="837"/>
      <c r="P10" s="837"/>
      <c r="Q10" s="833"/>
    </row>
    <row r="11" spans="2:17" ht="15" customHeight="1" x14ac:dyDescent="0.25">
      <c r="B11" s="157" t="s">
        <v>168</v>
      </c>
      <c r="C11" s="451"/>
      <c r="D11" s="451">
        <v>86.19</v>
      </c>
      <c r="E11" s="451"/>
      <c r="F11" s="451"/>
      <c r="G11" s="456">
        <v>1</v>
      </c>
      <c r="H11" s="453"/>
      <c r="I11" s="449" t="s">
        <v>197</v>
      </c>
      <c r="J11" s="451"/>
      <c r="K11" s="451"/>
      <c r="L11" s="451"/>
      <c r="M11" s="451">
        <f>D11*G11</f>
        <v>86.19</v>
      </c>
      <c r="N11" s="451"/>
      <c r="O11" s="451"/>
      <c r="P11" s="451"/>
      <c r="Q11" s="453">
        <f t="shared" ref="Q11:Q14" si="0">SUM(J11:P11)</f>
        <v>86.19</v>
      </c>
    </row>
    <row r="12" spans="2:17" ht="15" customHeight="1" x14ac:dyDescent="0.25">
      <c r="B12" s="157" t="s">
        <v>168</v>
      </c>
      <c r="C12" s="451"/>
      <c r="D12" s="451">
        <v>92.65</v>
      </c>
      <c r="E12" s="451"/>
      <c r="F12" s="451"/>
      <c r="G12" s="456">
        <v>1</v>
      </c>
      <c r="H12" s="453"/>
      <c r="I12" s="449" t="s">
        <v>197</v>
      </c>
      <c r="J12" s="451"/>
      <c r="K12" s="451"/>
      <c r="L12" s="451"/>
      <c r="M12" s="451"/>
      <c r="N12" s="451">
        <f>D12*G12</f>
        <v>92.65</v>
      </c>
      <c r="O12" s="451"/>
      <c r="P12" s="451"/>
      <c r="Q12" s="453">
        <f t="shared" si="0"/>
        <v>92.65</v>
      </c>
    </row>
    <row r="13" spans="2:17" ht="15" customHeight="1" x14ac:dyDescent="0.25">
      <c r="B13" s="157" t="s">
        <v>168</v>
      </c>
      <c r="C13" s="451"/>
      <c r="D13" s="451">
        <v>100.64</v>
      </c>
      <c r="E13" s="451"/>
      <c r="F13" s="451"/>
      <c r="G13" s="456">
        <v>1</v>
      </c>
      <c r="H13" s="453"/>
      <c r="I13" s="449" t="s">
        <v>197</v>
      </c>
      <c r="J13" s="451"/>
      <c r="K13" s="451"/>
      <c r="L13" s="451"/>
      <c r="M13" s="451"/>
      <c r="N13" s="451"/>
      <c r="O13" s="451">
        <f>D13*G13</f>
        <v>100.64</v>
      </c>
      <c r="P13" s="451"/>
      <c r="Q13" s="453">
        <f t="shared" si="0"/>
        <v>100.64</v>
      </c>
    </row>
    <row r="14" spans="2:17" ht="15" customHeight="1" x14ac:dyDescent="0.25">
      <c r="B14" s="157" t="s">
        <v>168</v>
      </c>
      <c r="C14" s="451"/>
      <c r="D14" s="451">
        <v>94.57</v>
      </c>
      <c r="E14" s="451"/>
      <c r="F14" s="451"/>
      <c r="G14" s="456">
        <v>1</v>
      </c>
      <c r="H14" s="453"/>
      <c r="I14" s="449" t="s">
        <v>197</v>
      </c>
      <c r="J14" s="451"/>
      <c r="K14" s="451"/>
      <c r="L14" s="451"/>
      <c r="M14" s="451"/>
      <c r="N14" s="451"/>
      <c r="O14" s="451"/>
      <c r="P14" s="451">
        <f>D14*G14</f>
        <v>94.57</v>
      </c>
      <c r="Q14" s="453">
        <f t="shared" si="0"/>
        <v>94.57</v>
      </c>
    </row>
    <row r="15" spans="2:17" ht="15" customHeight="1" x14ac:dyDescent="0.3">
      <c r="B15" s="414" t="s">
        <v>27</v>
      </c>
      <c r="C15" s="415"/>
      <c r="D15" s="416"/>
      <c r="E15" s="417"/>
      <c r="F15" s="417"/>
      <c r="G15" s="418"/>
      <c r="H15" s="312"/>
      <c r="I15" s="419" t="s">
        <v>3</v>
      </c>
      <c r="J15" s="420"/>
      <c r="K15" s="420"/>
      <c r="L15" s="420"/>
      <c r="M15" s="420"/>
      <c r="N15" s="420"/>
      <c r="O15" s="420"/>
      <c r="P15" s="420"/>
      <c r="Q15" s="421">
        <f>SUM(Q11:Q14)</f>
        <v>374.05</v>
      </c>
    </row>
  </sheetData>
  <mergeCells count="10">
    <mergeCell ref="N9:N10"/>
    <mergeCell ref="O9:O10"/>
    <mergeCell ref="P9:P10"/>
    <mergeCell ref="Q9:Q10"/>
    <mergeCell ref="B9:B10"/>
    <mergeCell ref="I9:I10"/>
    <mergeCell ref="J9:J10"/>
    <mergeCell ref="K9:K10"/>
    <mergeCell ref="L9:L10"/>
    <mergeCell ref="M9:M10"/>
  </mergeCells>
  <dataValidations count="1">
    <dataValidation type="list" allowBlank="1" showInputMessage="1" showErrorMessage="1" sqref="H9:H10" xr:uid="{00000000-0002-0000-0900-000000000000}">
      <formula1>"G,T,E,O"</formula1>
    </dataValidation>
  </dataValidation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V36"/>
  <sheetViews>
    <sheetView workbookViewId="0">
      <selection activeCell="B2" sqref="B2:B4"/>
    </sheetView>
  </sheetViews>
  <sheetFormatPr defaultRowHeight="13.2" x14ac:dyDescent="0.25"/>
  <cols>
    <col min="1" max="1" width="7.6640625" customWidth="1"/>
    <col min="2" max="2" width="31.44140625" customWidth="1"/>
    <col min="3" max="3" width="12" customWidth="1"/>
    <col min="4" max="4" width="14.5546875" customWidth="1"/>
    <col min="6" max="6" width="7.77734375" customWidth="1"/>
    <col min="7" max="7" width="10" customWidth="1"/>
    <col min="9" max="9" width="9.6640625" customWidth="1"/>
    <col min="10" max="10" width="7.77734375" customWidth="1"/>
    <col min="11" max="11" width="6.77734375" customWidth="1"/>
    <col min="13" max="21" width="7.77734375" customWidth="1"/>
  </cols>
  <sheetData>
    <row r="2" spans="2:22" ht="14.4" x14ac:dyDescent="0.25">
      <c r="B2" s="152" t="s">
        <v>55</v>
      </c>
    </row>
    <row r="3" spans="2:22" ht="14.4" x14ac:dyDescent="0.25">
      <c r="B3" s="152" t="s">
        <v>56</v>
      </c>
    </row>
    <row r="4" spans="2:22" ht="14.4" x14ac:dyDescent="0.25">
      <c r="B4" s="154" t="s">
        <v>54</v>
      </c>
    </row>
    <row r="5" spans="2:22" ht="15" customHeight="1" x14ac:dyDescent="0.25"/>
    <row r="6" spans="2:22" ht="15" customHeight="1" x14ac:dyDescent="0.25">
      <c r="B6" s="161" t="s">
        <v>380</v>
      </c>
    </row>
    <row r="7" spans="2:22" ht="15" customHeight="1" x14ac:dyDescent="0.25">
      <c r="M7" s="77"/>
      <c r="N7" s="77"/>
      <c r="O7" s="77"/>
      <c r="P7" s="77"/>
      <c r="Q7" s="77"/>
      <c r="R7" s="77"/>
      <c r="S7" s="77"/>
      <c r="T7" s="77"/>
      <c r="U7" s="77"/>
    </row>
    <row r="8" spans="2:22" ht="15.6" x14ac:dyDescent="0.25">
      <c r="B8" s="36" t="s">
        <v>51</v>
      </c>
      <c r="C8" s="3"/>
      <c r="D8" s="4"/>
      <c r="E8" s="4"/>
      <c r="F8" s="4"/>
      <c r="G8" s="3"/>
      <c r="H8" s="5"/>
      <c r="I8" s="6"/>
      <c r="J8" s="5"/>
      <c r="K8" s="79"/>
      <c r="L8" s="184"/>
      <c r="V8" s="1"/>
    </row>
    <row r="9" spans="2:22" ht="14.4" customHeight="1" x14ac:dyDescent="0.25">
      <c r="B9" s="822" t="s">
        <v>156</v>
      </c>
      <c r="C9" s="8" t="s">
        <v>0</v>
      </c>
      <c r="D9" s="68" t="s">
        <v>12</v>
      </c>
      <c r="E9" s="68" t="s">
        <v>4</v>
      </c>
      <c r="F9" s="68" t="s">
        <v>2</v>
      </c>
      <c r="G9" s="68" t="s">
        <v>6</v>
      </c>
      <c r="H9" s="68" t="s">
        <v>5</v>
      </c>
      <c r="I9" s="68" t="s">
        <v>35</v>
      </c>
      <c r="J9" s="67" t="s">
        <v>14</v>
      </c>
      <c r="K9" s="883" t="s">
        <v>154</v>
      </c>
      <c r="L9" s="885" t="s">
        <v>50</v>
      </c>
      <c r="M9" s="830" t="s">
        <v>93</v>
      </c>
      <c r="N9" s="830" t="s">
        <v>94</v>
      </c>
      <c r="O9" s="830" t="s">
        <v>95</v>
      </c>
      <c r="P9" s="830" t="s">
        <v>96</v>
      </c>
      <c r="Q9" s="830" t="s">
        <v>97</v>
      </c>
      <c r="R9" s="830" t="s">
        <v>98</v>
      </c>
      <c r="S9" s="830" t="s">
        <v>646</v>
      </c>
      <c r="T9" s="830" t="s">
        <v>735</v>
      </c>
      <c r="U9" s="886" t="s">
        <v>8</v>
      </c>
      <c r="V9" s="1"/>
    </row>
    <row r="10" spans="2:22" ht="14.4" x14ac:dyDescent="0.3">
      <c r="B10" s="823"/>
      <c r="C10" s="80" t="s">
        <v>9</v>
      </c>
      <c r="D10" s="81" t="s">
        <v>10</v>
      </c>
      <c r="E10" s="81" t="s">
        <v>10</v>
      </c>
      <c r="F10" s="81" t="s">
        <v>10</v>
      </c>
      <c r="G10" s="80" t="s">
        <v>9</v>
      </c>
      <c r="H10" s="80" t="s">
        <v>9</v>
      </c>
      <c r="I10" s="80" t="s">
        <v>9</v>
      </c>
      <c r="J10" s="82" t="s">
        <v>15</v>
      </c>
      <c r="K10" s="884"/>
      <c r="L10" s="885"/>
      <c r="M10" s="831"/>
      <c r="N10" s="831"/>
      <c r="O10" s="831"/>
      <c r="P10" s="831"/>
      <c r="Q10" s="831"/>
      <c r="R10" s="831"/>
      <c r="S10" s="831"/>
      <c r="T10" s="831"/>
      <c r="U10" s="886"/>
      <c r="V10" s="1"/>
    </row>
    <row r="11" spans="2:22" ht="14.4" x14ac:dyDescent="0.25">
      <c r="B11" s="20" t="s">
        <v>195</v>
      </c>
      <c r="C11" s="226"/>
      <c r="D11" s="87"/>
      <c r="E11" s="227"/>
      <c r="F11" s="88"/>
      <c r="G11" s="89"/>
      <c r="H11" s="198"/>
      <c r="I11" s="228"/>
      <c r="J11" s="228"/>
      <c r="K11" s="229"/>
      <c r="L11" s="77"/>
      <c r="M11" s="77"/>
      <c r="N11" s="77"/>
      <c r="O11" s="77"/>
      <c r="P11" s="77"/>
      <c r="Q11" s="77"/>
      <c r="R11" s="77"/>
      <c r="S11" s="184"/>
      <c r="V11" s="1"/>
    </row>
    <row r="12" spans="2:22" ht="14.4" x14ac:dyDescent="0.25">
      <c r="B12" s="195" t="s">
        <v>474</v>
      </c>
      <c r="C12" s="8"/>
      <c r="D12" s="230">
        <v>25.09</v>
      </c>
      <c r="E12" s="190"/>
      <c r="F12" s="356">
        <v>1.1000000000000001</v>
      </c>
      <c r="G12" s="231">
        <v>1</v>
      </c>
      <c r="H12" s="232">
        <f>D12*F12*G12</f>
        <v>27.599000000000004</v>
      </c>
      <c r="I12" s="191"/>
      <c r="J12" s="191"/>
      <c r="K12" s="233" t="s">
        <v>3</v>
      </c>
      <c r="L12" s="132">
        <f>H12</f>
        <v>27.599000000000004</v>
      </c>
      <c r="M12" s="234"/>
      <c r="N12" s="234"/>
      <c r="O12" s="234"/>
      <c r="P12" s="234"/>
      <c r="Q12" s="234"/>
      <c r="R12" s="234"/>
      <c r="S12" s="234"/>
      <c r="T12" s="214"/>
      <c r="U12" s="146">
        <f>SUM(L12:T12)</f>
        <v>27.599000000000004</v>
      </c>
      <c r="V12" s="1"/>
    </row>
    <row r="13" spans="2:22" ht="14.4" x14ac:dyDescent="0.25">
      <c r="B13" s="195" t="s">
        <v>474</v>
      </c>
      <c r="C13" s="8"/>
      <c r="D13" s="230">
        <v>6</v>
      </c>
      <c r="E13" s="190"/>
      <c r="F13" s="356">
        <v>1.1000000000000001</v>
      </c>
      <c r="G13" s="231">
        <v>1</v>
      </c>
      <c r="H13" s="232">
        <f t="shared" ref="H13" si="0">D13*F13*G13</f>
        <v>6.6000000000000005</v>
      </c>
      <c r="I13" s="191"/>
      <c r="J13" s="191"/>
      <c r="K13" s="233" t="s">
        <v>3</v>
      </c>
      <c r="L13" s="132"/>
      <c r="M13" s="234">
        <f>H13</f>
        <v>6.6000000000000005</v>
      </c>
      <c r="N13" s="234"/>
      <c r="O13" s="234"/>
      <c r="P13" s="234"/>
      <c r="Q13" s="234"/>
      <c r="R13" s="234"/>
      <c r="S13" s="234"/>
      <c r="T13" s="234"/>
      <c r="U13" s="146">
        <f>SUM(L13:T13)</f>
        <v>6.6000000000000005</v>
      </c>
      <c r="V13" s="1"/>
    </row>
    <row r="14" spans="2:22" ht="14.4" x14ac:dyDescent="0.25">
      <c r="B14" s="236" t="s">
        <v>196</v>
      </c>
      <c r="C14" s="237"/>
      <c r="D14" s="238"/>
      <c r="E14" s="239"/>
      <c r="F14" s="240"/>
      <c r="G14" s="241"/>
      <c r="H14" s="242"/>
      <c r="I14" s="243"/>
      <c r="J14" s="244"/>
      <c r="K14" s="244" t="s">
        <v>3</v>
      </c>
      <c r="L14" s="246"/>
      <c r="M14" s="246"/>
      <c r="N14" s="246"/>
      <c r="O14" s="246"/>
      <c r="P14" s="246"/>
      <c r="Q14" s="246"/>
      <c r="R14" s="246"/>
      <c r="S14" s="246"/>
      <c r="T14" s="246"/>
      <c r="U14" s="246">
        <f>SUM(U12:U13)</f>
        <v>34.199000000000005</v>
      </c>
      <c r="V14" s="1"/>
    </row>
    <row r="15" spans="2:22" ht="14.4" x14ac:dyDescent="0.25">
      <c r="B15" s="20" t="s">
        <v>195</v>
      </c>
      <c r="C15" s="226"/>
      <c r="D15" s="87"/>
      <c r="E15" s="227"/>
      <c r="F15" s="88"/>
      <c r="G15" s="89"/>
      <c r="H15" s="198"/>
      <c r="I15" s="228"/>
      <c r="J15" s="228"/>
      <c r="K15" s="229"/>
      <c r="L15" s="77"/>
      <c r="M15" s="77"/>
      <c r="N15" s="77"/>
      <c r="O15" s="77"/>
      <c r="P15" s="77"/>
      <c r="Q15" s="77"/>
      <c r="R15" s="77"/>
      <c r="S15" s="77"/>
      <c r="V15" s="1"/>
    </row>
    <row r="16" spans="2:22" ht="14.4" x14ac:dyDescent="0.25">
      <c r="B16" s="195" t="s">
        <v>740</v>
      </c>
      <c r="C16" s="8"/>
      <c r="D16" s="230">
        <v>7.36</v>
      </c>
      <c r="E16" s="190"/>
      <c r="F16" s="356">
        <v>0.92</v>
      </c>
      <c r="G16" s="231">
        <v>1</v>
      </c>
      <c r="H16" s="232">
        <f>D16*F16*G16</f>
        <v>6.7712000000000003</v>
      </c>
      <c r="I16" s="191"/>
      <c r="J16" s="191"/>
      <c r="K16" s="233" t="s">
        <v>3</v>
      </c>
      <c r="L16" s="132"/>
      <c r="M16" s="234"/>
      <c r="N16" s="234">
        <f>H16</f>
        <v>6.7712000000000003</v>
      </c>
      <c r="O16" s="234">
        <f>H16</f>
        <v>6.7712000000000003</v>
      </c>
      <c r="P16" s="234"/>
      <c r="Q16" s="234">
        <f>H16</f>
        <v>6.7712000000000003</v>
      </c>
      <c r="R16" s="234">
        <f>H16</f>
        <v>6.7712000000000003</v>
      </c>
      <c r="S16" s="234">
        <f>H16</f>
        <v>6.7712000000000003</v>
      </c>
      <c r="T16" s="214">
        <f>H16</f>
        <v>6.7712000000000003</v>
      </c>
      <c r="U16" s="146">
        <f>SUM(L16:T16)</f>
        <v>40.627200000000002</v>
      </c>
      <c r="V16" s="1"/>
    </row>
    <row r="17" spans="2:22" ht="14.4" x14ac:dyDescent="0.25">
      <c r="B17" s="236" t="s">
        <v>196</v>
      </c>
      <c r="C17" s="237"/>
      <c r="D17" s="238"/>
      <c r="E17" s="239"/>
      <c r="F17" s="240"/>
      <c r="G17" s="241"/>
      <c r="H17" s="242"/>
      <c r="I17" s="243"/>
      <c r="J17" s="244"/>
      <c r="K17" s="244" t="s">
        <v>3</v>
      </c>
      <c r="L17" s="245"/>
      <c r="M17" s="245"/>
      <c r="N17" s="245"/>
      <c r="O17" s="245"/>
      <c r="P17" s="245"/>
      <c r="Q17" s="245"/>
      <c r="R17" s="245"/>
      <c r="S17" s="245"/>
      <c r="T17" s="245"/>
      <c r="U17" s="246">
        <f>SUM(U16:U16)</f>
        <v>40.627200000000002</v>
      </c>
      <c r="V17" s="1"/>
    </row>
    <row r="18" spans="2:22" ht="14.4" x14ac:dyDescent="0.25">
      <c r="B18" s="20" t="s">
        <v>472</v>
      </c>
      <c r="C18" s="90"/>
      <c r="D18" s="87"/>
      <c r="E18" s="87"/>
      <c r="F18" s="88"/>
      <c r="G18" s="89"/>
      <c r="H18" s="198"/>
      <c r="I18" s="247"/>
      <c r="J18" s="228"/>
      <c r="K18" s="229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1"/>
    </row>
    <row r="19" spans="2:22" ht="14.4" x14ac:dyDescent="0.25">
      <c r="B19" s="195" t="s">
        <v>744</v>
      </c>
      <c r="C19" s="41"/>
      <c r="D19" s="85">
        <v>19.46</v>
      </c>
      <c r="E19" s="85"/>
      <c r="F19" s="64"/>
      <c r="G19" s="86">
        <v>1</v>
      </c>
      <c r="H19" s="232"/>
      <c r="I19" s="249"/>
      <c r="J19" s="67"/>
      <c r="K19" s="235" t="s">
        <v>197</v>
      </c>
      <c r="L19" s="234">
        <f>D19*G19</f>
        <v>19.46</v>
      </c>
      <c r="M19" s="234"/>
      <c r="N19" s="234"/>
      <c r="O19" s="234"/>
      <c r="P19" s="234"/>
      <c r="Q19" s="234"/>
      <c r="R19" s="234"/>
      <c r="S19" s="234"/>
      <c r="T19" s="234"/>
      <c r="U19" s="146">
        <f t="shared" ref="U19:U23" si="1">SUM(L19:T19)</f>
        <v>19.46</v>
      </c>
      <c r="V19" s="1"/>
    </row>
    <row r="20" spans="2:22" ht="14.4" x14ac:dyDescent="0.25">
      <c r="B20" s="195" t="s">
        <v>744</v>
      </c>
      <c r="C20" s="41"/>
      <c r="D20" s="85">
        <v>21.33</v>
      </c>
      <c r="E20" s="85"/>
      <c r="F20" s="64"/>
      <c r="G20" s="86">
        <v>1</v>
      </c>
      <c r="H20" s="232"/>
      <c r="I20" s="249"/>
      <c r="J20" s="67"/>
      <c r="K20" s="235" t="s">
        <v>197</v>
      </c>
      <c r="L20" s="234"/>
      <c r="M20" s="234">
        <f>D20*G20</f>
        <v>21.33</v>
      </c>
      <c r="N20" s="234"/>
      <c r="O20" s="234"/>
      <c r="P20" s="234"/>
      <c r="Q20" s="234"/>
      <c r="R20" s="234"/>
      <c r="S20" s="234"/>
      <c r="T20" s="234"/>
      <c r="U20" s="146">
        <f t="shared" si="1"/>
        <v>21.33</v>
      </c>
      <c r="V20" s="1"/>
    </row>
    <row r="21" spans="2:22" ht="14.4" x14ac:dyDescent="0.25">
      <c r="B21" s="195" t="s">
        <v>744</v>
      </c>
      <c r="C21" s="41"/>
      <c r="D21" s="85">
        <v>22.53</v>
      </c>
      <c r="E21" s="85"/>
      <c r="F21" s="64"/>
      <c r="G21" s="86">
        <v>1</v>
      </c>
      <c r="H21" s="232"/>
      <c r="I21" s="249"/>
      <c r="J21" s="67"/>
      <c r="K21" s="235" t="s">
        <v>197</v>
      </c>
      <c r="L21" s="234"/>
      <c r="M21" s="234"/>
      <c r="N21" s="234">
        <f>D21*G21</f>
        <v>22.53</v>
      </c>
      <c r="O21" s="234"/>
      <c r="P21" s="234"/>
      <c r="Q21" s="234"/>
      <c r="R21" s="234"/>
      <c r="S21" s="234"/>
      <c r="T21" s="234"/>
      <c r="U21" s="146">
        <f t="shared" si="1"/>
        <v>22.53</v>
      </c>
      <c r="V21" s="1"/>
    </row>
    <row r="22" spans="2:22" ht="14.4" x14ac:dyDescent="0.25">
      <c r="B22" s="195" t="s">
        <v>744</v>
      </c>
      <c r="C22" s="41"/>
      <c r="D22" s="85">
        <v>21.76</v>
      </c>
      <c r="E22" s="85"/>
      <c r="F22" s="64"/>
      <c r="G22" s="86">
        <v>1</v>
      </c>
      <c r="H22" s="232"/>
      <c r="I22" s="249"/>
      <c r="J22" s="67"/>
      <c r="K22" s="235" t="s">
        <v>197</v>
      </c>
      <c r="L22" s="234"/>
      <c r="M22" s="234"/>
      <c r="N22" s="234"/>
      <c r="O22" s="234">
        <f>D22*G22</f>
        <v>21.76</v>
      </c>
      <c r="P22" s="234"/>
      <c r="Q22" s="234"/>
      <c r="R22" s="234"/>
      <c r="S22" s="234"/>
      <c r="T22" s="234"/>
      <c r="U22" s="146">
        <f t="shared" si="1"/>
        <v>21.76</v>
      </c>
      <c r="V22" s="1"/>
    </row>
    <row r="23" spans="2:22" ht="14.4" x14ac:dyDescent="0.25">
      <c r="B23" s="195" t="s">
        <v>740</v>
      </c>
      <c r="C23" s="41"/>
      <c r="D23" s="85">
        <v>16.600000000000001</v>
      </c>
      <c r="E23" s="85"/>
      <c r="F23" s="64"/>
      <c r="G23" s="86">
        <v>1</v>
      </c>
      <c r="H23" s="232"/>
      <c r="I23" s="249"/>
      <c r="J23" s="67"/>
      <c r="K23" s="235" t="s">
        <v>197</v>
      </c>
      <c r="L23" s="234"/>
      <c r="M23" s="214"/>
      <c r="N23" s="214">
        <f>D23*G23</f>
        <v>16.600000000000001</v>
      </c>
      <c r="O23" s="214">
        <f>D23*G23</f>
        <v>16.600000000000001</v>
      </c>
      <c r="P23" s="214"/>
      <c r="Q23" s="214">
        <f>D23*G23</f>
        <v>16.600000000000001</v>
      </c>
      <c r="R23" s="214">
        <f>D23*G23</f>
        <v>16.600000000000001</v>
      </c>
      <c r="S23" s="214">
        <f>D23*G23</f>
        <v>16.600000000000001</v>
      </c>
      <c r="T23" s="146">
        <f>D23*G23</f>
        <v>16.600000000000001</v>
      </c>
      <c r="U23" s="146">
        <f t="shared" si="1"/>
        <v>99.6</v>
      </c>
      <c r="V23" s="1"/>
    </row>
    <row r="24" spans="2:22" ht="14.4" x14ac:dyDescent="0.25">
      <c r="B24" s="20" t="s">
        <v>473</v>
      </c>
      <c r="C24" s="90"/>
      <c r="D24" s="87"/>
      <c r="E24" s="87"/>
      <c r="F24" s="88"/>
      <c r="G24" s="89"/>
      <c r="H24" s="198"/>
      <c r="I24" s="247"/>
      <c r="J24" s="228"/>
      <c r="K24" s="228" t="s">
        <v>197</v>
      </c>
      <c r="L24" s="246"/>
      <c r="M24" s="246"/>
      <c r="N24" s="246"/>
      <c r="O24" s="246"/>
      <c r="P24" s="246"/>
      <c r="Q24" s="246"/>
      <c r="R24" s="246"/>
      <c r="S24" s="246"/>
      <c r="T24" s="246"/>
      <c r="U24" s="246">
        <f>SUM(U19:U23)</f>
        <v>184.68</v>
      </c>
      <c r="V24" s="1"/>
    </row>
    <row r="25" spans="2:22" ht="14.4" x14ac:dyDescent="0.25">
      <c r="B25" s="822" t="s">
        <v>156</v>
      </c>
      <c r="C25" s="8" t="s">
        <v>0</v>
      </c>
      <c r="D25" s="68" t="s">
        <v>12</v>
      </c>
      <c r="E25" s="68" t="s">
        <v>4</v>
      </c>
      <c r="F25" s="68" t="s">
        <v>2</v>
      </c>
      <c r="G25" s="68" t="s">
        <v>6</v>
      </c>
      <c r="H25" s="68" t="s">
        <v>5</v>
      </c>
      <c r="I25" s="68" t="s">
        <v>35</v>
      </c>
      <c r="J25" s="67" t="s">
        <v>14</v>
      </c>
      <c r="K25" s="883" t="s">
        <v>154</v>
      </c>
      <c r="L25" s="885" t="s">
        <v>50</v>
      </c>
      <c r="M25" s="830" t="s">
        <v>93</v>
      </c>
      <c r="N25" s="830" t="s">
        <v>94</v>
      </c>
      <c r="O25" s="830" t="s">
        <v>95</v>
      </c>
      <c r="P25" s="830" t="s">
        <v>96</v>
      </c>
      <c r="Q25" s="830" t="s">
        <v>97</v>
      </c>
      <c r="R25" s="830" t="s">
        <v>98</v>
      </c>
      <c r="S25" s="830" t="s">
        <v>646</v>
      </c>
      <c r="T25" s="830" t="s">
        <v>735</v>
      </c>
      <c r="U25" s="886" t="s">
        <v>8</v>
      </c>
      <c r="V25" s="1"/>
    </row>
    <row r="26" spans="2:22" ht="14.4" x14ac:dyDescent="0.3">
      <c r="B26" s="828"/>
      <c r="C26" s="80" t="s">
        <v>9</v>
      </c>
      <c r="D26" s="81" t="s">
        <v>10</v>
      </c>
      <c r="E26" s="81" t="s">
        <v>10</v>
      </c>
      <c r="F26" s="81" t="s">
        <v>10</v>
      </c>
      <c r="G26" s="80" t="s">
        <v>9</v>
      </c>
      <c r="H26" s="80" t="s">
        <v>9</v>
      </c>
      <c r="I26" s="80" t="s">
        <v>9</v>
      </c>
      <c r="J26" s="82" t="s">
        <v>15</v>
      </c>
      <c r="K26" s="884"/>
      <c r="L26" s="885"/>
      <c r="M26" s="831"/>
      <c r="N26" s="831"/>
      <c r="O26" s="831"/>
      <c r="P26" s="831"/>
      <c r="Q26" s="831"/>
      <c r="R26" s="831"/>
      <c r="S26" s="831"/>
      <c r="T26" s="831"/>
      <c r="U26" s="886"/>
      <c r="V26" s="1"/>
    </row>
    <row r="27" spans="2:22" ht="14.4" x14ac:dyDescent="0.25">
      <c r="B27" s="195" t="s">
        <v>669</v>
      </c>
      <c r="C27" s="196"/>
      <c r="D27" s="197">
        <v>83.14</v>
      </c>
      <c r="E27" s="197"/>
      <c r="F27" s="53"/>
      <c r="G27" s="83">
        <v>1</v>
      </c>
      <c r="H27" s="214"/>
      <c r="I27" s="84"/>
      <c r="J27" s="148"/>
      <c r="K27" s="199" t="s">
        <v>197</v>
      </c>
      <c r="L27" s="214"/>
      <c r="M27" s="214"/>
      <c r="N27" s="214"/>
      <c r="O27" s="214"/>
      <c r="P27" s="214"/>
      <c r="Q27" s="214"/>
      <c r="R27" s="214"/>
      <c r="S27" s="214">
        <f>D27*G27</f>
        <v>83.14</v>
      </c>
      <c r="T27" s="146"/>
      <c r="U27" s="146">
        <f t="shared" ref="U27" si="2">SUM(L27:T27)</f>
        <v>83.14</v>
      </c>
      <c r="V27" s="1"/>
    </row>
    <row r="28" spans="2:22" ht="14.4" x14ac:dyDescent="0.25">
      <c r="B28" s="20" t="s">
        <v>473</v>
      </c>
      <c r="C28" s="90"/>
      <c r="D28" s="87"/>
      <c r="E28" s="87"/>
      <c r="F28" s="88"/>
      <c r="G28" s="89"/>
      <c r="H28" s="198"/>
      <c r="I28" s="247"/>
      <c r="J28" s="228"/>
      <c r="K28" s="228" t="s">
        <v>197</v>
      </c>
      <c r="L28" s="246"/>
      <c r="M28" s="246"/>
      <c r="N28" s="246"/>
      <c r="O28" s="246"/>
      <c r="P28" s="246"/>
      <c r="Q28" s="246"/>
      <c r="R28" s="246"/>
      <c r="S28" s="246"/>
      <c r="T28" s="246"/>
      <c r="U28" s="246">
        <f>SUM(U27)</f>
        <v>83.14</v>
      </c>
      <c r="V28" s="1"/>
    </row>
    <row r="29" spans="2:22" ht="14.4" x14ac:dyDescent="0.25">
      <c r="B29" s="822" t="s">
        <v>156</v>
      </c>
      <c r="C29" s="8" t="s">
        <v>0</v>
      </c>
      <c r="D29" s="68" t="s">
        <v>12</v>
      </c>
      <c r="E29" s="68" t="s">
        <v>4</v>
      </c>
      <c r="F29" s="68" t="s">
        <v>2</v>
      </c>
      <c r="G29" s="68" t="s">
        <v>6</v>
      </c>
      <c r="H29" s="68" t="s">
        <v>5</v>
      </c>
      <c r="I29" s="68" t="s">
        <v>35</v>
      </c>
      <c r="J29" s="67" t="s">
        <v>14</v>
      </c>
      <c r="K29" s="883" t="s">
        <v>154</v>
      </c>
      <c r="L29" s="885" t="s">
        <v>50</v>
      </c>
      <c r="M29" s="830" t="s">
        <v>93</v>
      </c>
      <c r="N29" s="830" t="s">
        <v>94</v>
      </c>
      <c r="O29" s="830" t="s">
        <v>95</v>
      </c>
      <c r="P29" s="830" t="s">
        <v>96</v>
      </c>
      <c r="Q29" s="830" t="s">
        <v>97</v>
      </c>
      <c r="R29" s="830" t="s">
        <v>98</v>
      </c>
      <c r="S29" s="830" t="s">
        <v>646</v>
      </c>
      <c r="T29" s="830" t="s">
        <v>735</v>
      </c>
      <c r="U29" s="886" t="s">
        <v>8</v>
      </c>
      <c r="V29" s="1"/>
    </row>
    <row r="30" spans="2:22" ht="14.4" x14ac:dyDescent="0.3">
      <c r="B30" s="823"/>
      <c r="C30" s="80" t="s">
        <v>9</v>
      </c>
      <c r="D30" s="81" t="s">
        <v>10</v>
      </c>
      <c r="E30" s="81" t="s">
        <v>10</v>
      </c>
      <c r="F30" s="81" t="s">
        <v>10</v>
      </c>
      <c r="G30" s="80" t="s">
        <v>9</v>
      </c>
      <c r="H30" s="80" t="s">
        <v>9</v>
      </c>
      <c r="I30" s="80" t="s">
        <v>9</v>
      </c>
      <c r="J30" s="82" t="s">
        <v>15</v>
      </c>
      <c r="K30" s="884"/>
      <c r="L30" s="885"/>
      <c r="M30" s="831"/>
      <c r="N30" s="831"/>
      <c r="O30" s="831"/>
      <c r="P30" s="831"/>
      <c r="Q30" s="831"/>
      <c r="R30" s="831"/>
      <c r="S30" s="831"/>
      <c r="T30" s="831"/>
      <c r="U30" s="886"/>
      <c r="V30" s="1"/>
    </row>
    <row r="31" spans="2:22" ht="14.4" x14ac:dyDescent="0.25">
      <c r="B31" s="20" t="s">
        <v>332</v>
      </c>
      <c r="C31" s="226"/>
      <c r="D31" s="87"/>
      <c r="E31" s="227"/>
      <c r="F31" s="88"/>
      <c r="G31" s="89"/>
      <c r="H31" s="198"/>
      <c r="I31" s="228"/>
      <c r="J31" s="228"/>
      <c r="K31" s="229"/>
      <c r="L31" s="77"/>
      <c r="M31" s="77"/>
      <c r="N31" s="77"/>
      <c r="O31" s="77"/>
      <c r="P31" s="77"/>
      <c r="Q31" s="77"/>
      <c r="R31" s="77"/>
      <c r="S31" s="184"/>
      <c r="V31" s="1"/>
    </row>
    <row r="32" spans="2:22" ht="14.4" x14ac:dyDescent="0.25">
      <c r="B32" s="195" t="s">
        <v>678</v>
      </c>
      <c r="C32" s="8"/>
      <c r="D32" s="230">
        <v>4</v>
      </c>
      <c r="E32" s="190"/>
      <c r="F32" s="356"/>
      <c r="G32" s="231">
        <v>1</v>
      </c>
      <c r="H32" s="232"/>
      <c r="I32" s="191"/>
      <c r="J32" s="191"/>
      <c r="K32" s="233" t="s">
        <v>36</v>
      </c>
      <c r="L32" s="132"/>
      <c r="M32" s="234"/>
      <c r="N32" s="234"/>
      <c r="O32" s="234"/>
      <c r="P32" s="234"/>
      <c r="Q32" s="234"/>
      <c r="R32" s="234"/>
      <c r="S32" s="234">
        <f>G32</f>
        <v>1</v>
      </c>
      <c r="T32" s="214"/>
      <c r="U32" s="146">
        <f t="shared" ref="U32" si="3">SUM(L32:T32)</f>
        <v>1</v>
      </c>
      <c r="V32" s="1"/>
    </row>
    <row r="33" spans="2:22" ht="14.4" x14ac:dyDescent="0.25">
      <c r="B33" s="195"/>
      <c r="C33" s="8"/>
      <c r="D33" s="230"/>
      <c r="E33" s="190"/>
      <c r="F33" s="356"/>
      <c r="G33" s="231"/>
      <c r="H33" s="232"/>
      <c r="I33" s="191"/>
      <c r="J33" s="191"/>
      <c r="K33" s="233"/>
      <c r="L33" s="132"/>
      <c r="M33" s="234"/>
      <c r="N33" s="234"/>
      <c r="O33" s="234"/>
      <c r="P33" s="234"/>
      <c r="Q33" s="234"/>
      <c r="R33" s="234"/>
      <c r="S33" s="234"/>
      <c r="T33" s="234"/>
      <c r="U33" s="146"/>
      <c r="V33" s="1"/>
    </row>
    <row r="34" spans="2:22" ht="14.4" x14ac:dyDescent="0.25">
      <c r="B34" s="20" t="s">
        <v>196</v>
      </c>
      <c r="C34" s="90"/>
      <c r="D34" s="227"/>
      <c r="E34" s="87"/>
      <c r="F34" s="88"/>
      <c r="G34" s="89"/>
      <c r="H34" s="198"/>
      <c r="I34" s="247"/>
      <c r="J34" s="228"/>
      <c r="K34" s="228" t="s">
        <v>36</v>
      </c>
      <c r="L34" s="246"/>
      <c r="M34" s="246"/>
      <c r="N34" s="246"/>
      <c r="O34" s="246"/>
      <c r="P34" s="246"/>
      <c r="Q34" s="246"/>
      <c r="R34" s="246"/>
      <c r="S34" s="246"/>
      <c r="T34" s="246"/>
      <c r="U34" s="246">
        <f>SUM(U32:U33)</f>
        <v>1</v>
      </c>
      <c r="V34" s="1"/>
    </row>
    <row r="36" spans="2:22" ht="14.4" x14ac:dyDescent="0.25">
      <c r="B36" s="495"/>
    </row>
  </sheetData>
  <mergeCells count="36">
    <mergeCell ref="T25:T26"/>
    <mergeCell ref="T29:T30"/>
    <mergeCell ref="U29:U30"/>
    <mergeCell ref="B25:B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U25:U26"/>
    <mergeCell ref="O29:O30"/>
    <mergeCell ref="P29:P30"/>
    <mergeCell ref="Q29:Q30"/>
    <mergeCell ref="R29:R30"/>
    <mergeCell ref="S29:S30"/>
    <mergeCell ref="B29:B30"/>
    <mergeCell ref="K29:K30"/>
    <mergeCell ref="L29:L30"/>
    <mergeCell ref="M29:M30"/>
    <mergeCell ref="N29:N30"/>
    <mergeCell ref="B9:B10"/>
    <mergeCell ref="K9:K10"/>
    <mergeCell ref="L9:L10"/>
    <mergeCell ref="R9:R10"/>
    <mergeCell ref="U9:U10"/>
    <mergeCell ref="M9:M10"/>
    <mergeCell ref="N9:N10"/>
    <mergeCell ref="O9:O10"/>
    <mergeCell ref="P9:P10"/>
    <mergeCell ref="Q9:Q10"/>
    <mergeCell ref="S9:S10"/>
    <mergeCell ref="T9:T10"/>
  </mergeCells>
  <dataValidations count="1">
    <dataValidation type="list" allowBlank="1" showInputMessage="1" showErrorMessage="1" sqref="I11:I13 I31:I33 I15:I16" xr:uid="{00000000-0002-0000-0A00-000000000000}">
      <formula1>"G,T,E,O"</formula1>
    </dataValidation>
  </dataValidation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D118"/>
  <sheetViews>
    <sheetView topLeftCell="A19" workbookViewId="0">
      <selection activeCell="D40" sqref="D40"/>
    </sheetView>
  </sheetViews>
  <sheetFormatPr defaultRowHeight="13.2" x14ac:dyDescent="0.25"/>
  <cols>
    <col min="1" max="1" width="13.6640625" customWidth="1"/>
    <col min="2" max="2" width="26.5546875" customWidth="1"/>
    <col min="3" max="3" width="12.5546875" customWidth="1"/>
    <col min="4" max="4" width="14.88671875" customWidth="1"/>
    <col min="6" max="6" width="9.5546875" customWidth="1"/>
    <col min="7" max="7" width="10.109375" customWidth="1"/>
    <col min="8" max="8" width="9.6640625" customWidth="1"/>
    <col min="9" max="9" width="14.6640625" customWidth="1"/>
    <col min="10" max="10" width="10.109375" customWidth="1"/>
    <col min="11" max="11" width="12.6640625" customWidth="1"/>
    <col min="12" max="12" width="9.77734375" customWidth="1"/>
    <col min="13" max="13" width="9.88671875" customWidth="1"/>
    <col min="14" max="14" width="10.44140625" customWidth="1"/>
  </cols>
  <sheetData>
    <row r="2" spans="1:12" ht="14.4" x14ac:dyDescent="0.25">
      <c r="B2" s="152" t="s">
        <v>55</v>
      </c>
    </row>
    <row r="3" spans="1:12" ht="14.4" x14ac:dyDescent="0.25">
      <c r="B3" s="152" t="s">
        <v>56</v>
      </c>
      <c r="H3" s="742" t="s">
        <v>191</v>
      </c>
    </row>
    <row r="4" spans="1:12" ht="14.4" x14ac:dyDescent="0.25">
      <c r="B4" s="154" t="s">
        <v>745</v>
      </c>
    </row>
    <row r="6" spans="1:12" ht="14.4" x14ac:dyDescent="0.25">
      <c r="A6" s="141"/>
    </row>
    <row r="7" spans="1:12" ht="14.4" x14ac:dyDescent="0.25">
      <c r="A7" s="141"/>
      <c r="B7" s="887" t="s">
        <v>1</v>
      </c>
      <c r="C7" s="617" t="s">
        <v>0</v>
      </c>
      <c r="D7" s="618" t="s">
        <v>746</v>
      </c>
      <c r="E7" s="618" t="s">
        <v>4</v>
      </c>
      <c r="F7" s="618" t="s">
        <v>2</v>
      </c>
      <c r="G7" s="618" t="s">
        <v>6</v>
      </c>
      <c r="H7" s="446" t="s">
        <v>5</v>
      </c>
      <c r="I7" s="619" t="s">
        <v>747</v>
      </c>
      <c r="J7" s="446" t="s">
        <v>748</v>
      </c>
      <c r="K7" s="887" t="s">
        <v>7</v>
      </c>
      <c r="L7" s="888" t="s">
        <v>8</v>
      </c>
    </row>
    <row r="8" spans="1:12" ht="14.4" x14ac:dyDescent="0.3">
      <c r="B8" s="835"/>
      <c r="C8" s="620" t="s">
        <v>9</v>
      </c>
      <c r="D8" s="621" t="s">
        <v>10</v>
      </c>
      <c r="E8" s="621" t="s">
        <v>10</v>
      </c>
      <c r="F8" s="621" t="s">
        <v>10</v>
      </c>
      <c r="G8" s="620" t="s">
        <v>9</v>
      </c>
      <c r="H8" s="458" t="s">
        <v>11</v>
      </c>
      <c r="I8" s="622" t="s">
        <v>749</v>
      </c>
      <c r="J8" s="458" t="s">
        <v>750</v>
      </c>
      <c r="K8" s="835"/>
      <c r="L8" s="889"/>
    </row>
    <row r="9" spans="1:12" ht="15.6" x14ac:dyDescent="0.25">
      <c r="A9" s="141" t="s">
        <v>57</v>
      </c>
      <c r="B9" s="623" t="s">
        <v>751</v>
      </c>
      <c r="C9" s="624"/>
      <c r="D9" s="625"/>
      <c r="E9" s="626"/>
      <c r="F9" s="627"/>
      <c r="G9" s="624"/>
      <c r="H9" s="628"/>
      <c r="I9" s="629"/>
      <c r="J9" s="628"/>
      <c r="K9" s="581"/>
      <c r="L9" s="630"/>
    </row>
    <row r="10" spans="1:12" ht="14.4" x14ac:dyDescent="0.25">
      <c r="B10" s="631" t="s">
        <v>752</v>
      </c>
      <c r="C10" s="632"/>
      <c r="D10" s="633">
        <v>15.95</v>
      </c>
      <c r="E10" s="634">
        <v>12.15</v>
      </c>
      <c r="F10" s="225"/>
      <c r="G10" s="588">
        <v>1</v>
      </c>
      <c r="H10" s="635">
        <f>D10*E10*G10</f>
        <v>193.79249999999999</v>
      </c>
      <c r="I10" s="78"/>
      <c r="J10" s="225"/>
      <c r="K10" s="157" t="s">
        <v>3</v>
      </c>
      <c r="L10" s="730">
        <f>H10</f>
        <v>193.79249999999999</v>
      </c>
    </row>
    <row r="11" spans="1:12" ht="14.4" x14ac:dyDescent="0.25">
      <c r="B11" s="637" t="s">
        <v>753</v>
      </c>
      <c r="C11" s="632"/>
      <c r="D11" s="633"/>
      <c r="E11" s="634"/>
      <c r="F11" s="225"/>
      <c r="G11" s="588"/>
      <c r="H11" s="635"/>
      <c r="I11" s="78"/>
      <c r="J11" s="225"/>
      <c r="K11" s="157"/>
      <c r="L11" s="636"/>
    </row>
    <row r="12" spans="1:12" ht="14.4" x14ac:dyDescent="0.25">
      <c r="B12" s="637" t="s">
        <v>760</v>
      </c>
      <c r="C12" s="632"/>
      <c r="D12" s="633">
        <v>15.95</v>
      </c>
      <c r="E12" s="634">
        <v>12.15</v>
      </c>
      <c r="F12" s="225"/>
      <c r="G12" s="588">
        <v>1</v>
      </c>
      <c r="H12" s="635">
        <f>D12*E12*G12</f>
        <v>193.79249999999999</v>
      </c>
      <c r="I12" s="78"/>
      <c r="J12" s="225"/>
      <c r="K12" s="157" t="s">
        <v>3</v>
      </c>
      <c r="L12" s="730">
        <f>H12*G12</f>
        <v>193.79249999999999</v>
      </c>
    </row>
    <row r="13" spans="1:12" ht="14.4" x14ac:dyDescent="0.25">
      <c r="B13" s="638" t="s">
        <v>754</v>
      </c>
      <c r="C13" s="632"/>
      <c r="D13" s="633"/>
      <c r="E13" s="633"/>
      <c r="F13" s="639"/>
      <c r="G13" s="588">
        <v>1</v>
      </c>
      <c r="H13" s="635">
        <f>D13*E13*G13</f>
        <v>0</v>
      </c>
      <c r="I13" s="78"/>
      <c r="J13" s="225"/>
      <c r="K13" s="157" t="s">
        <v>3</v>
      </c>
      <c r="L13" s="636">
        <f>H13</f>
        <v>0</v>
      </c>
    </row>
    <row r="14" spans="1:12" ht="14.4" x14ac:dyDescent="0.25">
      <c r="B14" s="640" t="s">
        <v>755</v>
      </c>
      <c r="C14" s="633"/>
      <c r="D14" s="633"/>
      <c r="E14" s="641"/>
      <c r="F14" s="639"/>
      <c r="G14" s="588">
        <v>1</v>
      </c>
      <c r="H14" s="635">
        <f>D14*E14*G14</f>
        <v>0</v>
      </c>
      <c r="I14" s="78"/>
      <c r="J14" s="225"/>
      <c r="K14" s="157" t="s">
        <v>3</v>
      </c>
      <c r="L14" s="636">
        <f>H14</f>
        <v>0</v>
      </c>
    </row>
    <row r="15" spans="1:12" ht="14.4" x14ac:dyDescent="0.25">
      <c r="B15" s="642" t="s">
        <v>756</v>
      </c>
      <c r="C15" s="633"/>
      <c r="D15" s="633">
        <v>56.2</v>
      </c>
      <c r="E15" s="641"/>
      <c r="F15" s="73">
        <v>2.2000000000000002</v>
      </c>
      <c r="G15" s="588">
        <v>1</v>
      </c>
      <c r="H15" s="635">
        <f>D15*F15</f>
        <v>123.64000000000001</v>
      </c>
      <c r="I15" s="78"/>
      <c r="J15" s="78"/>
      <c r="K15" s="157" t="s">
        <v>3</v>
      </c>
      <c r="L15" s="730">
        <f>H15</f>
        <v>123.64000000000001</v>
      </c>
    </row>
    <row r="16" spans="1:12" ht="14.4" x14ac:dyDescent="0.3">
      <c r="B16" s="643" t="s">
        <v>757</v>
      </c>
      <c r="C16" s="78"/>
      <c r="D16" s="78"/>
      <c r="E16" s="78"/>
      <c r="F16" s="78"/>
      <c r="G16" s="644"/>
      <c r="H16" s="644"/>
      <c r="I16" s="644"/>
      <c r="J16" s="645"/>
      <c r="K16" s="78"/>
      <c r="L16" s="214"/>
    </row>
    <row r="17" spans="1:12" ht="14.4" x14ac:dyDescent="0.3">
      <c r="B17" s="643" t="s">
        <v>758</v>
      </c>
      <c r="C17" s="214">
        <v>1</v>
      </c>
      <c r="D17" s="78"/>
      <c r="E17" s="78"/>
      <c r="F17" s="78"/>
      <c r="G17" s="78"/>
      <c r="H17" s="78"/>
      <c r="I17" s="78"/>
      <c r="J17" s="78"/>
      <c r="K17" s="645" t="s">
        <v>36</v>
      </c>
      <c r="L17" s="646">
        <f>C17</f>
        <v>1</v>
      </c>
    </row>
    <row r="18" spans="1:12" ht="14.4" x14ac:dyDescent="0.3">
      <c r="B18" s="643" t="s">
        <v>759</v>
      </c>
      <c r="C18" s="214">
        <v>1</v>
      </c>
      <c r="D18" s="78"/>
      <c r="E18" s="78"/>
      <c r="F18" s="78"/>
      <c r="G18" s="78"/>
      <c r="H18" s="78"/>
      <c r="I18" s="78"/>
      <c r="J18" s="78"/>
      <c r="K18" s="645" t="s">
        <v>36</v>
      </c>
      <c r="L18" s="646">
        <f>C18</f>
        <v>1</v>
      </c>
    </row>
    <row r="20" spans="1:12" ht="15.6" x14ac:dyDescent="0.25">
      <c r="A20" s="141" t="s">
        <v>57</v>
      </c>
      <c r="B20" s="2" t="s">
        <v>29</v>
      </c>
      <c r="C20" s="3"/>
      <c r="D20" s="4"/>
      <c r="E20" s="4"/>
      <c r="F20" s="4"/>
      <c r="G20" s="3"/>
      <c r="H20" s="5"/>
      <c r="I20" s="6"/>
      <c r="J20" s="5"/>
      <c r="K20" s="5"/>
      <c r="L20" s="7"/>
    </row>
    <row r="21" spans="1:12" ht="15.6" x14ac:dyDescent="0.25">
      <c r="A21" s="141" t="s">
        <v>779</v>
      </c>
      <c r="B21" s="539" t="s">
        <v>644</v>
      </c>
      <c r="C21" s="540"/>
      <c r="D21" s="541"/>
      <c r="E21" s="541"/>
      <c r="F21" s="541"/>
      <c r="G21" s="540"/>
      <c r="H21" s="542"/>
      <c r="I21" s="543"/>
      <c r="J21" s="542"/>
      <c r="K21" s="542"/>
      <c r="L21" s="544"/>
    </row>
    <row r="22" spans="1:12" ht="15.6" x14ac:dyDescent="0.25">
      <c r="B22" s="460" t="s">
        <v>50</v>
      </c>
      <c r="C22" s="461"/>
      <c r="D22" s="462"/>
      <c r="E22" s="461"/>
      <c r="F22" s="463"/>
      <c r="G22" s="464"/>
      <c r="H22" s="465"/>
      <c r="I22" s="465"/>
      <c r="J22" s="465"/>
      <c r="K22" s="466"/>
      <c r="L22" s="467"/>
    </row>
    <row r="23" spans="1:12" ht="14.4" x14ac:dyDescent="0.25">
      <c r="B23" s="822" t="s">
        <v>1</v>
      </c>
      <c r="C23" s="55" t="s">
        <v>0</v>
      </c>
      <c r="D23" s="52" t="s">
        <v>12</v>
      </c>
      <c r="E23" s="52" t="s">
        <v>4</v>
      </c>
      <c r="F23" s="52" t="s">
        <v>2</v>
      </c>
      <c r="G23" s="52" t="s">
        <v>6</v>
      </c>
      <c r="H23" s="148" t="s">
        <v>5</v>
      </c>
      <c r="I23" s="56" t="s">
        <v>13</v>
      </c>
      <c r="J23" s="148" t="s">
        <v>14</v>
      </c>
      <c r="K23" s="822" t="s">
        <v>7</v>
      </c>
      <c r="L23" s="824" t="s">
        <v>8</v>
      </c>
    </row>
    <row r="24" spans="1:12" ht="14.4" x14ac:dyDescent="0.3">
      <c r="B24" s="823"/>
      <c r="C24" s="80" t="s">
        <v>9</v>
      </c>
      <c r="D24" s="81" t="s">
        <v>10</v>
      </c>
      <c r="E24" s="81" t="s">
        <v>10</v>
      </c>
      <c r="F24" s="81" t="s">
        <v>10</v>
      </c>
      <c r="G24" s="80" t="s">
        <v>9</v>
      </c>
      <c r="H24" s="82" t="s">
        <v>11</v>
      </c>
      <c r="I24" s="113" t="s">
        <v>11</v>
      </c>
      <c r="J24" s="82" t="s">
        <v>15</v>
      </c>
      <c r="K24" s="823"/>
      <c r="L24" s="825"/>
    </row>
    <row r="25" spans="1:12" ht="15" customHeight="1" x14ac:dyDescent="0.3">
      <c r="B25" s="20" t="s">
        <v>698</v>
      </c>
      <c r="C25" s="381"/>
      <c r="D25" s="382"/>
      <c r="E25" s="382"/>
      <c r="F25" s="382"/>
      <c r="G25" s="381"/>
      <c r="H25" s="383"/>
      <c r="I25" s="384"/>
      <c r="J25" s="383"/>
      <c r="K25" s="383"/>
      <c r="L25" s="7"/>
    </row>
    <row r="26" spans="1:12" ht="15" customHeight="1" x14ac:dyDescent="0.25">
      <c r="B26" s="217" t="s">
        <v>786</v>
      </c>
      <c r="C26" s="398"/>
      <c r="D26" s="389">
        <v>24.62</v>
      </c>
      <c r="E26" s="389"/>
      <c r="F26" s="389">
        <v>5.5</v>
      </c>
      <c r="G26" s="390">
        <v>1</v>
      </c>
      <c r="H26" s="389">
        <f t="shared" ref="H26:H27" si="0">D26*F26*G26-I26</f>
        <v>135.41</v>
      </c>
      <c r="I26" s="483"/>
      <c r="J26" s="399"/>
      <c r="K26" s="399" t="s">
        <v>3</v>
      </c>
      <c r="L26" s="389">
        <f>H26</f>
        <v>135.41</v>
      </c>
    </row>
    <row r="27" spans="1:12" ht="15" customHeight="1" x14ac:dyDescent="0.25">
      <c r="B27" s="217" t="s">
        <v>786</v>
      </c>
      <c r="C27" s="398"/>
      <c r="D27" s="389">
        <v>3.35</v>
      </c>
      <c r="E27" s="389"/>
      <c r="F27" s="389">
        <v>2.1</v>
      </c>
      <c r="G27" s="390">
        <v>3</v>
      </c>
      <c r="H27" s="389">
        <f t="shared" si="0"/>
        <v>21.105</v>
      </c>
      <c r="I27" s="483"/>
      <c r="J27" s="399"/>
      <c r="K27" s="399" t="s">
        <v>3</v>
      </c>
      <c r="L27" s="389">
        <f t="shared" ref="L27" si="1">H27</f>
        <v>21.105</v>
      </c>
    </row>
    <row r="28" spans="1:12" ht="15" customHeight="1" x14ac:dyDescent="0.25">
      <c r="B28" s="21" t="s">
        <v>563</v>
      </c>
      <c r="C28" s="12"/>
      <c r="D28" s="35">
        <f>SUM(D26:D27)</f>
        <v>27.970000000000002</v>
      </c>
      <c r="E28" s="35"/>
      <c r="F28" s="35"/>
      <c r="G28" s="35"/>
      <c r="H28" s="35"/>
      <c r="I28" s="35"/>
      <c r="J28" s="35"/>
      <c r="K28" s="533" t="s">
        <v>3</v>
      </c>
      <c r="L28" s="106">
        <f>SUM(L26:L27)</f>
        <v>156.51499999999999</v>
      </c>
    </row>
    <row r="29" spans="1:12" ht="15.6" x14ac:dyDescent="0.25">
      <c r="A29" s="141" t="s">
        <v>57</v>
      </c>
      <c r="B29" s="545" t="s">
        <v>645</v>
      </c>
      <c r="C29" s="546"/>
      <c r="D29" s="547"/>
      <c r="E29" s="547"/>
      <c r="F29" s="547"/>
      <c r="G29" s="546"/>
      <c r="H29" s="548"/>
      <c r="I29" s="549"/>
      <c r="J29" s="548"/>
      <c r="K29" s="548"/>
      <c r="L29" s="550"/>
    </row>
    <row r="30" spans="1:12" ht="15.6" x14ac:dyDescent="0.25">
      <c r="A30" s="141" t="s">
        <v>779</v>
      </c>
      <c r="B30" s="59" t="s">
        <v>50</v>
      </c>
      <c r="C30" s="119"/>
      <c r="D30" s="120"/>
      <c r="E30" s="119"/>
      <c r="F30" s="121"/>
      <c r="G30" s="122"/>
      <c r="H30" s="123"/>
      <c r="I30" s="123"/>
      <c r="J30" s="123"/>
      <c r="K30" s="124"/>
      <c r="L30" s="125"/>
    </row>
    <row r="31" spans="1:12" ht="14.4" x14ac:dyDescent="0.25">
      <c r="B31" s="822" t="s">
        <v>1</v>
      </c>
      <c r="C31" s="55" t="s">
        <v>0</v>
      </c>
      <c r="D31" s="52" t="s">
        <v>12</v>
      </c>
      <c r="E31" s="52" t="s">
        <v>4</v>
      </c>
      <c r="F31" s="52" t="s">
        <v>2</v>
      </c>
      <c r="G31" s="52" t="s">
        <v>6</v>
      </c>
      <c r="H31" s="148" t="s">
        <v>5</v>
      </c>
      <c r="I31" s="56" t="s">
        <v>13</v>
      </c>
      <c r="J31" s="148" t="s">
        <v>14</v>
      </c>
      <c r="K31" s="822" t="s">
        <v>7</v>
      </c>
      <c r="L31" s="824" t="s">
        <v>8</v>
      </c>
    </row>
    <row r="32" spans="1:12" ht="14.4" x14ac:dyDescent="0.3">
      <c r="B32" s="823"/>
      <c r="C32" s="80" t="s">
        <v>9</v>
      </c>
      <c r="D32" s="81" t="s">
        <v>10</v>
      </c>
      <c r="E32" s="81" t="s">
        <v>10</v>
      </c>
      <c r="F32" s="81" t="s">
        <v>10</v>
      </c>
      <c r="G32" s="80" t="s">
        <v>9</v>
      </c>
      <c r="H32" s="82" t="s">
        <v>11</v>
      </c>
      <c r="I32" s="113" t="s">
        <v>11</v>
      </c>
      <c r="J32" s="82" t="s">
        <v>15</v>
      </c>
      <c r="K32" s="823"/>
      <c r="L32" s="825"/>
    </row>
    <row r="33" spans="1:15" ht="14.4" x14ac:dyDescent="0.3">
      <c r="B33" s="20" t="s">
        <v>887</v>
      </c>
      <c r="C33" s="381"/>
      <c r="D33" s="382"/>
      <c r="E33" s="382"/>
      <c r="F33" s="382"/>
      <c r="G33" s="381"/>
      <c r="H33" s="383"/>
      <c r="I33" s="384"/>
      <c r="J33" s="383"/>
      <c r="K33" s="383"/>
      <c r="L33" s="7"/>
    </row>
    <row r="34" spans="1:15" ht="14.4" x14ac:dyDescent="0.25">
      <c r="B34" s="217" t="s">
        <v>645</v>
      </c>
      <c r="C34" s="398"/>
      <c r="D34" s="389">
        <v>29.55</v>
      </c>
      <c r="E34" s="389"/>
      <c r="F34" s="389">
        <v>5.6</v>
      </c>
      <c r="G34" s="390">
        <v>1</v>
      </c>
      <c r="H34" s="389">
        <f t="shared" ref="H34:H39" si="2">D34*F34*G34-I34</f>
        <v>149.72999999999999</v>
      </c>
      <c r="I34" s="481">
        <v>15.75</v>
      </c>
      <c r="J34" s="399"/>
      <c r="K34" s="399" t="s">
        <v>3</v>
      </c>
      <c r="L34" s="483">
        <f>H34</f>
        <v>149.72999999999999</v>
      </c>
    </row>
    <row r="35" spans="1:15" ht="14.4" x14ac:dyDescent="0.25">
      <c r="B35" s="217" t="s">
        <v>645</v>
      </c>
      <c r="C35" s="398"/>
      <c r="D35" s="389">
        <v>3.09</v>
      </c>
      <c r="E35" s="389"/>
      <c r="F35" s="389">
        <v>5.6</v>
      </c>
      <c r="G35" s="390">
        <v>2</v>
      </c>
      <c r="H35" s="389">
        <f t="shared" si="2"/>
        <v>30.407999999999998</v>
      </c>
      <c r="I35" s="481">
        <v>4.2</v>
      </c>
      <c r="J35" s="399"/>
      <c r="K35" s="399" t="s">
        <v>3</v>
      </c>
      <c r="L35" s="483">
        <f t="shared" ref="L35:L39" si="3">H35</f>
        <v>30.407999999999998</v>
      </c>
    </row>
    <row r="36" spans="1:15" ht="14.4" x14ac:dyDescent="0.25">
      <c r="B36" s="217" t="s">
        <v>645</v>
      </c>
      <c r="C36" s="398"/>
      <c r="D36" s="389">
        <v>8.76</v>
      </c>
      <c r="E36" s="389"/>
      <c r="F36" s="389">
        <v>5.6</v>
      </c>
      <c r="G36" s="390">
        <v>3</v>
      </c>
      <c r="H36" s="389">
        <f t="shared" si="2"/>
        <v>147.16800000000001</v>
      </c>
      <c r="I36" s="481"/>
      <c r="J36" s="399"/>
      <c r="K36" s="399" t="s">
        <v>3</v>
      </c>
      <c r="L36" s="483">
        <f t="shared" si="3"/>
        <v>147.16800000000001</v>
      </c>
    </row>
    <row r="37" spans="1:15" ht="14.4" x14ac:dyDescent="0.25">
      <c r="B37" s="217" t="s">
        <v>645</v>
      </c>
      <c r="C37" s="398"/>
      <c r="D37" s="389">
        <v>2.39</v>
      </c>
      <c r="E37" s="389"/>
      <c r="F37" s="389">
        <v>5.6</v>
      </c>
      <c r="G37" s="390">
        <v>6</v>
      </c>
      <c r="H37" s="389">
        <f t="shared" si="2"/>
        <v>80.304000000000002</v>
      </c>
      <c r="I37" s="481"/>
      <c r="J37" s="399"/>
      <c r="K37" s="399" t="s">
        <v>3</v>
      </c>
      <c r="L37" s="483">
        <f t="shared" si="3"/>
        <v>80.304000000000002</v>
      </c>
    </row>
    <row r="38" spans="1:15" ht="14.4" x14ac:dyDescent="0.25">
      <c r="B38" s="217" t="s">
        <v>645</v>
      </c>
      <c r="C38" s="398"/>
      <c r="D38" s="389">
        <v>5.47</v>
      </c>
      <c r="E38" s="389"/>
      <c r="F38" s="389">
        <v>5.6</v>
      </c>
      <c r="G38" s="390">
        <v>6</v>
      </c>
      <c r="H38" s="389">
        <f t="shared" si="2"/>
        <v>183.79199999999997</v>
      </c>
      <c r="I38" s="481"/>
      <c r="J38" s="399"/>
      <c r="K38" s="399" t="s">
        <v>3</v>
      </c>
      <c r="L38" s="483">
        <f t="shared" si="3"/>
        <v>183.79199999999997</v>
      </c>
    </row>
    <row r="39" spans="1:15" ht="14.4" x14ac:dyDescent="0.25">
      <c r="B39" s="217" t="s">
        <v>645</v>
      </c>
      <c r="C39" s="398"/>
      <c r="D39" s="389">
        <v>0.3</v>
      </c>
      <c r="E39" s="389"/>
      <c r="F39" s="389">
        <v>5.6</v>
      </c>
      <c r="G39" s="390">
        <v>12</v>
      </c>
      <c r="H39" s="389">
        <f t="shared" si="2"/>
        <v>20.16</v>
      </c>
      <c r="I39" s="481"/>
      <c r="J39" s="399"/>
      <c r="K39" s="399" t="s">
        <v>3</v>
      </c>
      <c r="L39" s="483">
        <f t="shared" si="3"/>
        <v>20.16</v>
      </c>
    </row>
    <row r="40" spans="1:15" ht="14.4" x14ac:dyDescent="0.25">
      <c r="B40" s="21" t="s">
        <v>684</v>
      </c>
      <c r="C40" s="12"/>
      <c r="D40" s="35">
        <f>SUM(D34:D39)</f>
        <v>49.559999999999995</v>
      </c>
      <c r="E40" s="459"/>
      <c r="F40" s="10"/>
      <c r="G40" s="22"/>
      <c r="H40" s="19"/>
      <c r="I40" s="19"/>
      <c r="J40" s="19"/>
      <c r="K40" s="23" t="s">
        <v>3</v>
      </c>
      <c r="L40" s="13">
        <f>SUM(L34:L39)</f>
        <v>611.56200000000001</v>
      </c>
    </row>
    <row r="41" spans="1:15" ht="15.6" x14ac:dyDescent="0.25">
      <c r="A41" s="502" t="s">
        <v>778</v>
      </c>
      <c r="B41" s="36" t="s">
        <v>32</v>
      </c>
      <c r="C41" s="37"/>
      <c r="D41" s="38"/>
      <c r="E41" s="38"/>
      <c r="F41" s="38"/>
      <c r="G41" s="37"/>
      <c r="H41" s="39"/>
      <c r="I41" s="40"/>
      <c r="J41" s="39"/>
      <c r="K41" s="39"/>
      <c r="L41" s="727"/>
      <c r="M41" s="724"/>
      <c r="N41" s="724"/>
      <c r="O41" s="724"/>
    </row>
    <row r="42" spans="1:15" ht="14.4" x14ac:dyDescent="0.25">
      <c r="B42" s="24" t="s">
        <v>31</v>
      </c>
      <c r="C42" s="25"/>
      <c r="D42" s="26"/>
      <c r="E42" s="26"/>
      <c r="F42" s="26"/>
      <c r="G42" s="25"/>
      <c r="H42" s="27"/>
      <c r="I42" s="28"/>
      <c r="J42" s="27"/>
      <c r="K42" s="27"/>
      <c r="L42" s="728"/>
      <c r="M42" s="724"/>
      <c r="N42" s="724"/>
      <c r="O42" s="724"/>
    </row>
    <row r="43" spans="1:15" ht="40.049999999999997" customHeight="1" x14ac:dyDescent="0.25">
      <c r="B43" s="843" t="s">
        <v>16</v>
      </c>
      <c r="C43" s="839" t="s">
        <v>17</v>
      </c>
      <c r="D43" s="839" t="s">
        <v>18</v>
      </c>
      <c r="E43" s="839" t="s">
        <v>28</v>
      </c>
      <c r="F43" s="842" t="s">
        <v>19</v>
      </c>
      <c r="G43" s="838" t="s">
        <v>13</v>
      </c>
      <c r="H43" s="838" t="s">
        <v>24</v>
      </c>
      <c r="I43" s="838" t="s">
        <v>45</v>
      </c>
      <c r="J43" s="838" t="s">
        <v>26</v>
      </c>
      <c r="K43" s="890" t="s">
        <v>73</v>
      </c>
      <c r="L43" s="75"/>
      <c r="M43" s="508"/>
      <c r="N43" s="508"/>
      <c r="O43" s="508"/>
    </row>
    <row r="44" spans="1:15" ht="40.049999999999997" customHeight="1" x14ac:dyDescent="0.25">
      <c r="B44" s="840"/>
      <c r="C44" s="841"/>
      <c r="D44" s="841"/>
      <c r="E44" s="841"/>
      <c r="F44" s="839"/>
      <c r="G44" s="839"/>
      <c r="H44" s="839"/>
      <c r="I44" s="839"/>
      <c r="J44" s="839"/>
      <c r="K44" s="891"/>
      <c r="L44" s="75"/>
      <c r="M44" s="508"/>
      <c r="N44" s="508"/>
      <c r="O44" s="508"/>
    </row>
    <row r="45" spans="1:15" ht="15.6" x14ac:dyDescent="0.25">
      <c r="A45" s="141"/>
      <c r="B45" s="59" t="s">
        <v>49</v>
      </c>
      <c r="C45" s="62"/>
      <c r="D45" s="62"/>
      <c r="E45" s="62"/>
      <c r="F45" s="62"/>
      <c r="G45" s="62"/>
      <c r="H45" s="62"/>
      <c r="I45" s="62"/>
      <c r="J45" s="62"/>
      <c r="K45" s="62"/>
      <c r="L45" s="726"/>
      <c r="M45" s="725"/>
      <c r="N45" s="725"/>
      <c r="O45" s="725"/>
    </row>
    <row r="46" spans="1:15" ht="15" customHeight="1" x14ac:dyDescent="0.25">
      <c r="A46" s="559"/>
      <c r="B46" s="157" t="s">
        <v>780</v>
      </c>
      <c r="C46" s="34">
        <f t="shared" ref="C46:C54" si="4">D46*E46*F46-G46</f>
        <v>59.895000000000003</v>
      </c>
      <c r="D46" s="131">
        <v>10.89</v>
      </c>
      <c r="E46" s="131">
        <v>5.5</v>
      </c>
      <c r="F46" s="562">
        <v>1</v>
      </c>
      <c r="G46" s="561"/>
      <c r="H46" s="65">
        <f>C46</f>
        <v>59.895000000000003</v>
      </c>
      <c r="I46" s="42">
        <f>H46-J46</f>
        <v>59.895000000000003</v>
      </c>
      <c r="J46" s="561"/>
      <c r="K46" s="716">
        <f>I46</f>
        <v>59.895000000000003</v>
      </c>
      <c r="L46" s="712"/>
      <c r="M46" s="709"/>
      <c r="N46" s="709"/>
      <c r="O46" s="709"/>
    </row>
    <row r="47" spans="1:15" ht="15" customHeight="1" x14ac:dyDescent="0.25">
      <c r="A47" s="559"/>
      <c r="B47" s="157" t="s">
        <v>780</v>
      </c>
      <c r="C47" s="34">
        <f t="shared" si="4"/>
        <v>61.27</v>
      </c>
      <c r="D47" s="131">
        <v>11.14</v>
      </c>
      <c r="E47" s="131">
        <v>5.5</v>
      </c>
      <c r="F47" s="562">
        <v>1</v>
      </c>
      <c r="G47" s="561"/>
      <c r="H47" s="65">
        <f>C47</f>
        <v>61.27</v>
      </c>
      <c r="I47" s="42">
        <f>H47-J47</f>
        <v>61.27</v>
      </c>
      <c r="J47" s="561"/>
      <c r="K47" s="716">
        <f t="shared" ref="K47:K54" si="5">I47</f>
        <v>61.27</v>
      </c>
      <c r="L47" s="712"/>
      <c r="M47" s="709"/>
      <c r="N47" s="709"/>
      <c r="O47" s="709"/>
    </row>
    <row r="48" spans="1:15" ht="15" customHeight="1" x14ac:dyDescent="0.25">
      <c r="A48" s="559"/>
      <c r="B48" s="220" t="s">
        <v>780</v>
      </c>
      <c r="C48" s="34">
        <f t="shared" si="4"/>
        <v>65.504999999999995</v>
      </c>
      <c r="D48" s="131">
        <v>11.91</v>
      </c>
      <c r="E48" s="131">
        <v>5.5</v>
      </c>
      <c r="F48" s="562">
        <v>1</v>
      </c>
      <c r="G48" s="561"/>
      <c r="H48" s="65">
        <f t="shared" ref="H48:H55" si="6">C48</f>
        <v>65.504999999999995</v>
      </c>
      <c r="I48" s="42">
        <f t="shared" ref="I48:I55" si="7">H48-J48</f>
        <v>65.504999999999995</v>
      </c>
      <c r="J48" s="561"/>
      <c r="K48" s="716">
        <f t="shared" si="5"/>
        <v>65.504999999999995</v>
      </c>
      <c r="L48" s="712"/>
      <c r="M48" s="709"/>
      <c r="N48" s="709"/>
      <c r="O48" s="709"/>
    </row>
    <row r="49" spans="1:15" ht="15" customHeight="1" x14ac:dyDescent="0.25">
      <c r="A49" s="559"/>
      <c r="B49" s="157" t="s">
        <v>780</v>
      </c>
      <c r="C49" s="34">
        <f t="shared" si="4"/>
        <v>58.849999999999994</v>
      </c>
      <c r="D49" s="131">
        <v>10.7</v>
      </c>
      <c r="E49" s="131">
        <v>5.5</v>
      </c>
      <c r="F49" s="562">
        <v>1</v>
      </c>
      <c r="G49" s="565"/>
      <c r="H49" s="65">
        <f t="shared" si="6"/>
        <v>58.849999999999994</v>
      </c>
      <c r="I49" s="42">
        <f t="shared" si="7"/>
        <v>58.849999999999994</v>
      </c>
      <c r="J49" s="561"/>
      <c r="K49" s="716">
        <f t="shared" si="5"/>
        <v>58.849999999999994</v>
      </c>
      <c r="L49" s="712"/>
      <c r="M49" s="709"/>
      <c r="N49" s="709"/>
      <c r="O49" s="709"/>
    </row>
    <row r="50" spans="1:15" ht="15" customHeight="1" x14ac:dyDescent="0.25">
      <c r="A50" s="559"/>
      <c r="B50" s="220" t="s">
        <v>781</v>
      </c>
      <c r="C50" s="34">
        <f t="shared" si="4"/>
        <v>241.79400000000001</v>
      </c>
      <c r="D50" s="131">
        <f>43.09-4.71</f>
        <v>38.380000000000003</v>
      </c>
      <c r="E50" s="131">
        <v>6.3</v>
      </c>
      <c r="F50" s="562">
        <v>1</v>
      </c>
      <c r="G50" s="561"/>
      <c r="H50" s="65">
        <f t="shared" si="6"/>
        <v>241.79400000000001</v>
      </c>
      <c r="I50" s="42">
        <f t="shared" si="7"/>
        <v>241.79400000000001</v>
      </c>
      <c r="J50" s="561"/>
      <c r="K50" s="716">
        <f t="shared" si="5"/>
        <v>241.79400000000001</v>
      </c>
      <c r="L50" s="712"/>
      <c r="M50" s="709"/>
      <c r="N50" s="709"/>
      <c r="O50" s="709"/>
    </row>
    <row r="51" spans="1:15" ht="15" customHeight="1" x14ac:dyDescent="0.25">
      <c r="A51" s="559"/>
      <c r="B51" s="157" t="s">
        <v>782</v>
      </c>
      <c r="C51" s="34">
        <f t="shared" si="4"/>
        <v>73.8</v>
      </c>
      <c r="D51" s="131">
        <f>17.71-4.71</f>
        <v>13</v>
      </c>
      <c r="E51" s="131">
        <v>6</v>
      </c>
      <c r="F51" s="562">
        <v>1</v>
      </c>
      <c r="G51" s="561">
        <v>4.2</v>
      </c>
      <c r="H51" s="65">
        <f t="shared" si="6"/>
        <v>73.8</v>
      </c>
      <c r="I51" s="42">
        <f t="shared" si="7"/>
        <v>73.8</v>
      </c>
      <c r="J51" s="561"/>
      <c r="K51" s="716">
        <f t="shared" si="5"/>
        <v>73.8</v>
      </c>
      <c r="L51" s="712"/>
      <c r="M51" s="709"/>
      <c r="N51" s="709"/>
      <c r="O51" s="709"/>
    </row>
    <row r="52" spans="1:15" ht="15" customHeight="1" x14ac:dyDescent="0.25">
      <c r="A52" s="559"/>
      <c r="B52" s="157" t="s">
        <v>783</v>
      </c>
      <c r="C52" s="34">
        <f t="shared" si="4"/>
        <v>30.180499999999995</v>
      </c>
      <c r="D52" s="131">
        <v>13.37</v>
      </c>
      <c r="E52" s="131">
        <v>2.65</v>
      </c>
      <c r="F52" s="562">
        <v>1</v>
      </c>
      <c r="G52" s="561">
        <v>5.25</v>
      </c>
      <c r="H52" s="65">
        <f t="shared" si="6"/>
        <v>30.180499999999995</v>
      </c>
      <c r="I52" s="42">
        <f t="shared" si="7"/>
        <v>30.180499999999995</v>
      </c>
      <c r="J52" s="561"/>
      <c r="K52" s="716">
        <f t="shared" si="5"/>
        <v>30.180499999999995</v>
      </c>
      <c r="L52" s="712"/>
      <c r="M52" s="709"/>
      <c r="N52" s="709"/>
      <c r="O52" s="709"/>
    </row>
    <row r="53" spans="1:15" ht="15" customHeight="1" x14ac:dyDescent="0.25">
      <c r="A53" s="559"/>
      <c r="B53" s="157" t="s">
        <v>784</v>
      </c>
      <c r="C53" s="34">
        <f t="shared" si="4"/>
        <v>30.975499999999997</v>
      </c>
      <c r="D53" s="131">
        <v>13.67</v>
      </c>
      <c r="E53" s="131">
        <v>2.65</v>
      </c>
      <c r="F53" s="562">
        <v>1</v>
      </c>
      <c r="G53" s="561">
        <v>5.25</v>
      </c>
      <c r="H53" s="65">
        <f t="shared" si="6"/>
        <v>30.975499999999997</v>
      </c>
      <c r="I53" s="42">
        <f t="shared" si="7"/>
        <v>30.975499999999997</v>
      </c>
      <c r="J53" s="561"/>
      <c r="K53" s="716">
        <f t="shared" si="5"/>
        <v>30.975499999999997</v>
      </c>
      <c r="L53" s="712"/>
      <c r="M53" s="709"/>
      <c r="N53" s="709"/>
      <c r="O53" s="709"/>
    </row>
    <row r="54" spans="1:15" ht="15" customHeight="1" x14ac:dyDescent="0.25">
      <c r="A54" s="559"/>
      <c r="B54" s="157" t="s">
        <v>785</v>
      </c>
      <c r="C54" s="34">
        <f t="shared" si="4"/>
        <v>30.180499999999995</v>
      </c>
      <c r="D54" s="131">
        <v>13.37</v>
      </c>
      <c r="E54" s="131">
        <v>2.65</v>
      </c>
      <c r="F54" s="562">
        <v>1</v>
      </c>
      <c r="G54" s="561">
        <v>5.25</v>
      </c>
      <c r="H54" s="65">
        <f t="shared" si="6"/>
        <v>30.180499999999995</v>
      </c>
      <c r="I54" s="42">
        <f t="shared" si="7"/>
        <v>30.180499999999995</v>
      </c>
      <c r="J54" s="561"/>
      <c r="K54" s="716">
        <f t="shared" si="5"/>
        <v>30.180499999999995</v>
      </c>
      <c r="L54" s="712"/>
      <c r="M54" s="709"/>
      <c r="N54" s="709"/>
      <c r="O54" s="709"/>
    </row>
    <row r="55" spans="1:15" ht="15" customHeight="1" x14ac:dyDescent="0.25">
      <c r="B55" s="257" t="s">
        <v>22</v>
      </c>
      <c r="C55" s="127">
        <f>SUM(C46:C54)</f>
        <v>652.45049999999992</v>
      </c>
      <c r="D55" s="127"/>
      <c r="E55" s="127"/>
      <c r="F55" s="127"/>
      <c r="G55" s="127"/>
      <c r="H55" s="127">
        <f t="shared" si="6"/>
        <v>652.45049999999992</v>
      </c>
      <c r="I55" s="127">
        <f t="shared" si="7"/>
        <v>652.45049999999992</v>
      </c>
      <c r="J55" s="127"/>
      <c r="K55" s="127">
        <f>SUM(K46:K54)</f>
        <v>652.45049999999992</v>
      </c>
      <c r="L55" s="135"/>
      <c r="M55" s="270"/>
      <c r="N55" s="270"/>
    </row>
    <row r="56" spans="1:15" ht="15.6" x14ac:dyDescent="0.25">
      <c r="A56" s="141" t="s">
        <v>778</v>
      </c>
      <c r="B56" s="36" t="s">
        <v>30</v>
      </c>
      <c r="C56" s="37"/>
      <c r="D56" s="38"/>
      <c r="E56" s="38"/>
      <c r="F56" s="38"/>
      <c r="G56" s="37"/>
      <c r="H56" s="39"/>
      <c r="I56" s="714"/>
      <c r="J56" s="724"/>
      <c r="K56" s="724"/>
      <c r="L56" s="724"/>
    </row>
    <row r="57" spans="1:15" ht="14.4" x14ac:dyDescent="0.25">
      <c r="B57" s="24" t="s">
        <v>34</v>
      </c>
      <c r="C57" s="25"/>
      <c r="D57" s="26"/>
      <c r="E57" s="26"/>
      <c r="F57" s="26"/>
      <c r="G57" s="25"/>
      <c r="H57" s="27"/>
      <c r="I57" s="715"/>
      <c r="J57" s="724"/>
      <c r="K57" s="724"/>
      <c r="L57" s="724"/>
    </row>
    <row r="58" spans="1:15" ht="40.049999999999997" customHeight="1" x14ac:dyDescent="0.25">
      <c r="B58" s="843" t="s">
        <v>16</v>
      </c>
      <c r="C58" s="838" t="s">
        <v>17</v>
      </c>
      <c r="D58" s="839" t="s">
        <v>18</v>
      </c>
      <c r="E58" s="842" t="s">
        <v>19</v>
      </c>
      <c r="F58" s="842" t="s">
        <v>13</v>
      </c>
      <c r="G58" s="842" t="s">
        <v>20</v>
      </c>
      <c r="H58" s="842" t="s">
        <v>21</v>
      </c>
      <c r="I58" s="850" t="s">
        <v>80</v>
      </c>
      <c r="J58" s="75"/>
      <c r="K58" s="508"/>
      <c r="L58" s="508"/>
    </row>
    <row r="59" spans="1:15" ht="40.049999999999997" customHeight="1" x14ac:dyDescent="0.25">
      <c r="B59" s="852"/>
      <c r="C59" s="842"/>
      <c r="D59" s="838"/>
      <c r="E59" s="842"/>
      <c r="F59" s="842"/>
      <c r="G59" s="842"/>
      <c r="H59" s="842"/>
      <c r="I59" s="851"/>
      <c r="J59" s="75"/>
      <c r="K59" s="508"/>
      <c r="L59" s="508"/>
    </row>
    <row r="60" spans="1:15" ht="15.6" x14ac:dyDescent="0.25">
      <c r="B60" s="59" t="s">
        <v>50</v>
      </c>
      <c r="C60" s="60"/>
      <c r="D60" s="60"/>
      <c r="E60" s="60"/>
      <c r="F60" s="60"/>
      <c r="G60" s="60"/>
      <c r="H60" s="60"/>
      <c r="I60" s="60"/>
      <c r="J60" s="75"/>
      <c r="K60" s="508"/>
      <c r="L60" s="508"/>
    </row>
    <row r="61" spans="1:15" ht="15" customHeight="1" x14ac:dyDescent="0.25">
      <c r="B61" s="157" t="s">
        <v>780</v>
      </c>
      <c r="C61" s="566">
        <v>7.36</v>
      </c>
      <c r="D61" s="131">
        <v>10.89</v>
      </c>
      <c r="E61" s="567">
        <v>1</v>
      </c>
      <c r="F61" s="561"/>
      <c r="G61" s="30">
        <f t="shared" ref="G61:G65" si="8">C61*E61</f>
        <v>7.36</v>
      </c>
      <c r="H61" s="30">
        <f t="shared" ref="H61:H65" si="9">G61</f>
        <v>7.36</v>
      </c>
      <c r="I61" s="716">
        <f>H61</f>
        <v>7.36</v>
      </c>
      <c r="J61" s="712"/>
      <c r="K61" s="709"/>
      <c r="L61" s="709"/>
    </row>
    <row r="62" spans="1:15" ht="15" customHeight="1" x14ac:dyDescent="0.25">
      <c r="B62" s="157" t="s">
        <v>780</v>
      </c>
      <c r="C62" s="566">
        <v>7.66</v>
      </c>
      <c r="D62" s="131">
        <v>11.14</v>
      </c>
      <c r="E62" s="567">
        <v>1</v>
      </c>
      <c r="F62" s="561"/>
      <c r="G62" s="30">
        <f t="shared" ref="G62:G64" si="10">C62*E62</f>
        <v>7.66</v>
      </c>
      <c r="H62" s="30">
        <f t="shared" ref="H62:H64" si="11">G62</f>
        <v>7.66</v>
      </c>
      <c r="I62" s="716">
        <f t="shared" ref="I62:I70" si="12">H62</f>
        <v>7.66</v>
      </c>
      <c r="J62" s="712"/>
      <c r="K62" s="709"/>
      <c r="L62" s="709"/>
    </row>
    <row r="63" spans="1:15" ht="15" customHeight="1" x14ac:dyDescent="0.25">
      <c r="B63" s="220" t="s">
        <v>780</v>
      </c>
      <c r="C63" s="603">
        <v>8.61</v>
      </c>
      <c r="D63" s="131">
        <v>11.91</v>
      </c>
      <c r="E63" s="567">
        <v>1</v>
      </c>
      <c r="F63" s="561"/>
      <c r="G63" s="30">
        <f t="shared" si="10"/>
        <v>8.61</v>
      </c>
      <c r="H63" s="30">
        <f t="shared" si="11"/>
        <v>8.61</v>
      </c>
      <c r="I63" s="716">
        <f t="shared" si="12"/>
        <v>8.61</v>
      </c>
      <c r="J63" s="712"/>
      <c r="K63" s="709"/>
      <c r="L63" s="709"/>
    </row>
    <row r="64" spans="1:15" ht="15" customHeight="1" x14ac:dyDescent="0.25">
      <c r="B64" s="157" t="s">
        <v>780</v>
      </c>
      <c r="C64" s="566">
        <v>7.11</v>
      </c>
      <c r="D64" s="131">
        <v>10.7</v>
      </c>
      <c r="E64" s="567">
        <v>2</v>
      </c>
      <c r="F64" s="561"/>
      <c r="G64" s="30">
        <f t="shared" si="10"/>
        <v>14.22</v>
      </c>
      <c r="H64" s="30">
        <f t="shared" si="11"/>
        <v>14.22</v>
      </c>
      <c r="I64" s="716">
        <f t="shared" si="12"/>
        <v>14.22</v>
      </c>
      <c r="J64" s="712"/>
      <c r="K64" s="709"/>
      <c r="L64" s="709"/>
    </row>
    <row r="65" spans="1:13" ht="15" customHeight="1" x14ac:dyDescent="0.25">
      <c r="B65" s="220" t="s">
        <v>781</v>
      </c>
      <c r="C65" s="603">
        <v>87.56</v>
      </c>
      <c r="D65" s="131">
        <f>43.09-4.71</f>
        <v>38.380000000000003</v>
      </c>
      <c r="E65" s="567">
        <v>1</v>
      </c>
      <c r="F65" s="561"/>
      <c r="G65" s="30">
        <f t="shared" si="8"/>
        <v>87.56</v>
      </c>
      <c r="H65" s="30">
        <f t="shared" si="9"/>
        <v>87.56</v>
      </c>
      <c r="I65" s="716">
        <f t="shared" si="12"/>
        <v>87.56</v>
      </c>
      <c r="J65" s="712"/>
      <c r="K65" s="709"/>
      <c r="L65" s="709"/>
    </row>
    <row r="66" spans="1:13" ht="15" customHeight="1" x14ac:dyDescent="0.25">
      <c r="A66" s="150"/>
      <c r="B66" s="157" t="s">
        <v>782</v>
      </c>
      <c r="C66" s="73">
        <v>17.57</v>
      </c>
      <c r="D66" s="131">
        <f>17.71-4.71</f>
        <v>13</v>
      </c>
      <c r="E66" s="33">
        <v>1</v>
      </c>
      <c r="F66" s="29"/>
      <c r="G66" s="30">
        <f>C66*E66</f>
        <v>17.57</v>
      </c>
      <c r="H66" s="30">
        <f>G66</f>
        <v>17.57</v>
      </c>
      <c r="I66" s="716">
        <f t="shared" si="12"/>
        <v>17.57</v>
      </c>
      <c r="J66" s="713"/>
      <c r="K66" s="710"/>
      <c r="L66" s="711"/>
    </row>
    <row r="67" spans="1:13" ht="15" customHeight="1" x14ac:dyDescent="0.25">
      <c r="A67" s="150"/>
      <c r="B67" s="157" t="s">
        <v>783</v>
      </c>
      <c r="C67" s="73">
        <v>11.15</v>
      </c>
      <c r="D67" s="131">
        <v>13.37</v>
      </c>
      <c r="E67" s="33">
        <v>1</v>
      </c>
      <c r="F67" s="29"/>
      <c r="G67" s="30">
        <f>C67*E67</f>
        <v>11.15</v>
      </c>
      <c r="H67" s="30">
        <f>G67</f>
        <v>11.15</v>
      </c>
      <c r="I67" s="716">
        <f t="shared" si="12"/>
        <v>11.15</v>
      </c>
      <c r="J67" s="713"/>
      <c r="K67" s="710"/>
      <c r="L67" s="711"/>
    </row>
    <row r="68" spans="1:13" ht="15" customHeight="1" x14ac:dyDescent="0.25">
      <c r="A68" s="150"/>
      <c r="B68" s="157" t="s">
        <v>784</v>
      </c>
      <c r="C68" s="73">
        <v>11.13</v>
      </c>
      <c r="D68" s="131">
        <v>13.67</v>
      </c>
      <c r="E68" s="33">
        <v>1</v>
      </c>
      <c r="F68" s="33"/>
      <c r="G68" s="268">
        <f>C68*E68</f>
        <v>11.13</v>
      </c>
      <c r="H68" s="268">
        <f>G68</f>
        <v>11.13</v>
      </c>
      <c r="I68" s="131">
        <f t="shared" si="12"/>
        <v>11.13</v>
      </c>
      <c r="J68" s="710"/>
      <c r="K68" s="710"/>
      <c r="L68" s="711"/>
    </row>
    <row r="69" spans="1:13" ht="15" customHeight="1" x14ac:dyDescent="0.25">
      <c r="A69" s="150"/>
      <c r="B69" s="157" t="s">
        <v>785</v>
      </c>
      <c r="C69" s="73">
        <v>11.18</v>
      </c>
      <c r="D69" s="131">
        <v>13.37</v>
      </c>
      <c r="E69" s="33">
        <v>1</v>
      </c>
      <c r="F69" s="33"/>
      <c r="G69" s="268">
        <f>C69*E69</f>
        <v>11.18</v>
      </c>
      <c r="H69" s="268">
        <f>G69</f>
        <v>11.18</v>
      </c>
      <c r="I69" s="131">
        <f t="shared" si="12"/>
        <v>11.18</v>
      </c>
      <c r="J69" s="710"/>
      <c r="K69" s="710"/>
      <c r="L69" s="711"/>
    </row>
    <row r="70" spans="1:13" ht="15" customHeight="1" x14ac:dyDescent="0.25">
      <c r="B70" s="128" t="s">
        <v>22</v>
      </c>
      <c r="C70" s="129">
        <f>SUM(C61:C69)</f>
        <v>169.33</v>
      </c>
      <c r="D70" s="129"/>
      <c r="E70" s="129"/>
      <c r="F70" s="129"/>
      <c r="G70" s="129">
        <f>SUM(G61:G69)</f>
        <v>176.44</v>
      </c>
      <c r="H70" s="129">
        <f>G70</f>
        <v>176.44</v>
      </c>
      <c r="I70" s="717">
        <f t="shared" si="12"/>
        <v>176.44</v>
      </c>
      <c r="J70" s="270"/>
      <c r="K70" s="270"/>
      <c r="L70" s="270"/>
      <c r="M70" s="270"/>
    </row>
    <row r="71" spans="1:13" ht="15.6" x14ac:dyDescent="0.25">
      <c r="A71" s="141" t="s">
        <v>778</v>
      </c>
      <c r="B71" s="2" t="s">
        <v>33</v>
      </c>
      <c r="C71" s="3"/>
      <c r="D71" s="4"/>
      <c r="E71" s="4"/>
      <c r="F71" s="4"/>
      <c r="G71" s="4"/>
      <c r="H71" s="4"/>
      <c r="I71" s="723"/>
      <c r="J71" s="719"/>
      <c r="K71" s="719"/>
      <c r="L71" s="719"/>
    </row>
    <row r="72" spans="1:13" ht="40.049999999999997" customHeight="1" x14ac:dyDescent="0.25">
      <c r="B72" s="843" t="s">
        <v>16</v>
      </c>
      <c r="C72" s="839" t="s">
        <v>17</v>
      </c>
      <c r="D72" s="839" t="s">
        <v>18</v>
      </c>
      <c r="E72" s="842" t="s">
        <v>19</v>
      </c>
      <c r="F72" s="842" t="s">
        <v>13</v>
      </c>
      <c r="G72" s="838" t="s">
        <v>24</v>
      </c>
      <c r="H72" s="838" t="s">
        <v>25</v>
      </c>
      <c r="I72" s="850" t="s">
        <v>88</v>
      </c>
      <c r="J72" s="75"/>
      <c r="K72" s="508"/>
      <c r="L72" s="508"/>
    </row>
    <row r="73" spans="1:13" ht="40.049999999999997" customHeight="1" x14ac:dyDescent="0.25">
      <c r="B73" s="852"/>
      <c r="C73" s="838"/>
      <c r="D73" s="838"/>
      <c r="E73" s="842"/>
      <c r="F73" s="842"/>
      <c r="G73" s="839"/>
      <c r="H73" s="839"/>
      <c r="I73" s="851"/>
      <c r="J73" s="75"/>
      <c r="K73" s="508"/>
      <c r="L73" s="508"/>
    </row>
    <row r="74" spans="1:13" ht="15.6" x14ac:dyDescent="0.25">
      <c r="A74" s="141"/>
      <c r="B74" s="59" t="s">
        <v>50</v>
      </c>
      <c r="C74" s="60"/>
      <c r="D74" s="60"/>
      <c r="E74" s="60"/>
      <c r="F74" s="60"/>
      <c r="G74" s="60"/>
      <c r="H74" s="60"/>
      <c r="I74" s="58"/>
      <c r="J74" s="721"/>
      <c r="K74" s="719"/>
      <c r="L74" s="719"/>
    </row>
    <row r="75" spans="1:13" ht="15" customHeight="1" x14ac:dyDescent="0.25">
      <c r="A75" s="141"/>
      <c r="B75" s="157" t="s">
        <v>780</v>
      </c>
      <c r="C75" s="566">
        <v>7.36</v>
      </c>
      <c r="D75" s="131">
        <v>10.89</v>
      </c>
      <c r="E75" s="567">
        <v>1</v>
      </c>
      <c r="F75" s="568"/>
      <c r="G75" s="568"/>
      <c r="H75" s="568"/>
      <c r="I75" s="718">
        <f t="shared" ref="I75:I76" si="13">C75*E75</f>
        <v>7.36</v>
      </c>
      <c r="J75" s="722"/>
      <c r="K75" s="720"/>
      <c r="L75" s="720"/>
    </row>
    <row r="76" spans="1:13" ht="15" customHeight="1" x14ac:dyDescent="0.25">
      <c r="A76" s="141"/>
      <c r="B76" s="157" t="s">
        <v>780</v>
      </c>
      <c r="C76" s="566">
        <v>7.66</v>
      </c>
      <c r="D76" s="131">
        <v>11.14</v>
      </c>
      <c r="E76" s="567">
        <v>1</v>
      </c>
      <c r="F76" s="568"/>
      <c r="G76" s="568"/>
      <c r="H76" s="568"/>
      <c r="I76" s="718">
        <f t="shared" si="13"/>
        <v>7.66</v>
      </c>
      <c r="J76" s="722"/>
      <c r="K76" s="720"/>
      <c r="L76" s="720"/>
    </row>
    <row r="77" spans="1:13" ht="15" customHeight="1" x14ac:dyDescent="0.25">
      <c r="A77" s="141"/>
      <c r="B77" s="220" t="s">
        <v>780</v>
      </c>
      <c r="C77" s="603">
        <v>8.61</v>
      </c>
      <c r="D77" s="131">
        <v>11.91</v>
      </c>
      <c r="E77" s="567">
        <v>1</v>
      </c>
      <c r="F77" s="568"/>
      <c r="G77" s="568"/>
      <c r="H77" s="568"/>
      <c r="I77" s="718">
        <f>C77*E77</f>
        <v>8.61</v>
      </c>
      <c r="J77" s="722"/>
      <c r="K77" s="720"/>
      <c r="L77" s="720"/>
    </row>
    <row r="78" spans="1:13" ht="15" customHeight="1" x14ac:dyDescent="0.25">
      <c r="A78" s="141"/>
      <c r="B78" s="157" t="s">
        <v>780</v>
      </c>
      <c r="C78" s="566">
        <v>7.11</v>
      </c>
      <c r="D78" s="131">
        <v>10.7</v>
      </c>
      <c r="E78" s="567">
        <v>1</v>
      </c>
      <c r="F78" s="568"/>
      <c r="G78" s="568"/>
      <c r="H78" s="568"/>
      <c r="I78" s="718">
        <f t="shared" ref="I78:I83" si="14">C78*E78</f>
        <v>7.11</v>
      </c>
      <c r="J78" s="722"/>
      <c r="K78" s="720"/>
      <c r="L78" s="720"/>
    </row>
    <row r="79" spans="1:13" ht="15" customHeight="1" x14ac:dyDescent="0.25">
      <c r="A79" s="141"/>
      <c r="B79" s="220" t="s">
        <v>781</v>
      </c>
      <c r="C79" s="603">
        <v>87.56</v>
      </c>
      <c r="D79" s="131">
        <f>43.09</f>
        <v>43.09</v>
      </c>
      <c r="E79" s="567">
        <v>1</v>
      </c>
      <c r="F79" s="568"/>
      <c r="G79" s="568"/>
      <c r="H79" s="568"/>
      <c r="I79" s="718">
        <f t="shared" si="14"/>
        <v>87.56</v>
      </c>
      <c r="J79" s="722"/>
      <c r="K79" s="720"/>
      <c r="L79" s="720"/>
    </row>
    <row r="80" spans="1:13" ht="15" customHeight="1" x14ac:dyDescent="0.25">
      <c r="A80" s="141"/>
      <c r="B80" s="157" t="s">
        <v>782</v>
      </c>
      <c r="C80" s="73">
        <v>17.57</v>
      </c>
      <c r="D80" s="131">
        <f>17.71</f>
        <v>17.71</v>
      </c>
      <c r="E80" s="567">
        <v>1</v>
      </c>
      <c r="F80" s="568"/>
      <c r="G80" s="568"/>
      <c r="H80" s="568"/>
      <c r="I80" s="718">
        <f t="shared" si="14"/>
        <v>17.57</v>
      </c>
      <c r="J80" s="722"/>
      <c r="K80" s="720"/>
      <c r="L80" s="720"/>
    </row>
    <row r="81" spans="1:30" ht="15" customHeight="1" x14ac:dyDescent="0.25">
      <c r="A81" s="141"/>
      <c r="B81" s="157" t="s">
        <v>783</v>
      </c>
      <c r="C81" s="73">
        <v>11.15</v>
      </c>
      <c r="D81" s="131">
        <v>13.37</v>
      </c>
      <c r="E81" s="567">
        <v>1</v>
      </c>
      <c r="F81" s="568"/>
      <c r="G81" s="568"/>
      <c r="H81" s="568"/>
      <c r="I81" s="718">
        <f t="shared" si="14"/>
        <v>11.15</v>
      </c>
      <c r="J81" s="722"/>
      <c r="K81" s="720"/>
      <c r="L81" s="720"/>
    </row>
    <row r="82" spans="1:30" ht="15" customHeight="1" x14ac:dyDescent="0.25">
      <c r="A82" s="141"/>
      <c r="B82" s="157" t="s">
        <v>784</v>
      </c>
      <c r="C82" s="73">
        <v>11.13</v>
      </c>
      <c r="D82" s="131">
        <v>13.67</v>
      </c>
      <c r="E82" s="567">
        <v>1</v>
      </c>
      <c r="F82" s="568"/>
      <c r="G82" s="568"/>
      <c r="H82" s="568"/>
      <c r="I82" s="718">
        <f t="shared" si="14"/>
        <v>11.13</v>
      </c>
      <c r="J82" s="722"/>
      <c r="K82" s="720"/>
      <c r="L82" s="720"/>
    </row>
    <row r="83" spans="1:30" ht="15" customHeight="1" x14ac:dyDescent="0.25">
      <c r="A83" s="141"/>
      <c r="B83" s="157" t="s">
        <v>785</v>
      </c>
      <c r="C83" s="73">
        <v>11.18</v>
      </c>
      <c r="D83" s="131">
        <v>13.37</v>
      </c>
      <c r="E83" s="567">
        <v>1</v>
      </c>
      <c r="F83" s="568"/>
      <c r="G83" s="568"/>
      <c r="H83" s="568"/>
      <c r="I83" s="718">
        <f t="shared" si="14"/>
        <v>11.18</v>
      </c>
      <c r="J83" s="722"/>
      <c r="K83" s="720"/>
      <c r="L83" s="720"/>
    </row>
    <row r="84" spans="1:30" ht="15" customHeight="1" x14ac:dyDescent="0.25">
      <c r="B84" s="134" t="s">
        <v>22</v>
      </c>
      <c r="C84" s="127">
        <f>SUM(C75:C83)</f>
        <v>169.33</v>
      </c>
      <c r="D84" s="127"/>
      <c r="E84" s="127"/>
      <c r="F84" s="127"/>
      <c r="G84" s="127"/>
      <c r="H84" s="255"/>
      <c r="I84" s="255">
        <f>SUM(I75:I83)</f>
        <v>169.33</v>
      </c>
      <c r="J84" s="135"/>
      <c r="K84" s="270"/>
      <c r="L84" s="270"/>
      <c r="M84" s="77"/>
    </row>
    <row r="85" spans="1:30" ht="15" customHeight="1" x14ac:dyDescent="0.25">
      <c r="A85" s="502" t="s">
        <v>777</v>
      </c>
      <c r="B85" s="2" t="s">
        <v>41</v>
      </c>
      <c r="C85" s="142"/>
      <c r="D85" s="142"/>
      <c r="E85" s="4"/>
      <c r="F85" s="4"/>
      <c r="G85" s="4"/>
      <c r="H85" s="3"/>
      <c r="I85" s="5"/>
      <c r="J85" s="6"/>
      <c r="K85" s="5"/>
      <c r="L85" s="5"/>
      <c r="M85" s="184"/>
      <c r="N85" s="185"/>
    </row>
    <row r="86" spans="1:30" ht="30" customHeight="1" x14ac:dyDescent="0.25">
      <c r="B86" s="823" t="s">
        <v>1</v>
      </c>
      <c r="C86" s="102" t="s">
        <v>46</v>
      </c>
      <c r="D86" s="102" t="s">
        <v>47</v>
      </c>
      <c r="E86" s="68" t="s">
        <v>4</v>
      </c>
      <c r="F86" s="616" t="s">
        <v>763</v>
      </c>
      <c r="G86" s="647" t="s">
        <v>42</v>
      </c>
      <c r="H86" s="148" t="s">
        <v>5</v>
      </c>
      <c r="I86" s="822" t="s">
        <v>7</v>
      </c>
      <c r="J86" s="52" t="s">
        <v>37</v>
      </c>
      <c r="K86" s="103" t="s">
        <v>138</v>
      </c>
      <c r="L86" s="138" t="s">
        <v>48</v>
      </c>
      <c r="M86" s="831" t="s">
        <v>50</v>
      </c>
      <c r="N86" s="875" t="s">
        <v>8</v>
      </c>
      <c r="O86" s="659"/>
      <c r="P86" s="178"/>
      <c r="Q86" s="178"/>
      <c r="R86" s="648"/>
      <c r="S86" s="145"/>
      <c r="T86" s="145"/>
      <c r="U86" s="658"/>
      <c r="V86" s="658"/>
      <c r="W86" s="658"/>
      <c r="X86" s="658"/>
      <c r="Y86" s="658"/>
      <c r="Z86" s="658"/>
      <c r="AA86" s="658"/>
      <c r="AB86" s="658"/>
      <c r="AC86" s="658"/>
      <c r="AD86" s="892"/>
    </row>
    <row r="87" spans="1:30" ht="14.4" x14ac:dyDescent="0.3">
      <c r="B87" s="823"/>
      <c r="C87" s="81" t="s">
        <v>10</v>
      </c>
      <c r="D87" s="81" t="s">
        <v>10</v>
      </c>
      <c r="E87" s="81" t="s">
        <v>10</v>
      </c>
      <c r="F87" s="81" t="s">
        <v>10</v>
      </c>
      <c r="G87" s="80" t="s">
        <v>9</v>
      </c>
      <c r="H87" s="49" t="s">
        <v>11</v>
      </c>
      <c r="I87" s="828"/>
      <c r="J87" s="48" t="s">
        <v>10</v>
      </c>
      <c r="K87" s="81" t="s">
        <v>11</v>
      </c>
      <c r="L87" s="81" t="s">
        <v>11</v>
      </c>
      <c r="M87" s="830"/>
      <c r="N87" s="876"/>
      <c r="O87" s="660"/>
      <c r="P87" s="649"/>
      <c r="Q87" s="178"/>
      <c r="R87" s="650"/>
      <c r="S87" s="650"/>
      <c r="T87" s="650"/>
      <c r="U87" s="658"/>
      <c r="V87" s="658"/>
      <c r="W87" s="658"/>
      <c r="X87" s="658"/>
      <c r="Y87" s="658"/>
      <c r="Z87" s="658"/>
      <c r="AA87" s="658"/>
      <c r="AB87" s="658"/>
      <c r="AC87" s="658"/>
      <c r="AD87" s="892"/>
    </row>
    <row r="88" spans="1:30" ht="14.4" x14ac:dyDescent="0.25">
      <c r="B88" s="93" t="s">
        <v>120</v>
      </c>
      <c r="C88" s="143"/>
      <c r="D88" s="143"/>
      <c r="E88" s="94"/>
      <c r="F88" s="95"/>
      <c r="G88" s="96"/>
      <c r="H88" s="96"/>
      <c r="I88" s="96"/>
      <c r="J88" s="96"/>
      <c r="K88" s="96"/>
      <c r="L88" s="96"/>
      <c r="M88" s="96"/>
      <c r="N88" s="97"/>
      <c r="O88" s="661"/>
      <c r="P88" s="651"/>
      <c r="Q88" s="652"/>
      <c r="R88" s="653"/>
      <c r="S88" s="651"/>
      <c r="T88" s="651"/>
      <c r="U88" s="651"/>
      <c r="V88" s="651"/>
      <c r="W88" s="651"/>
      <c r="X88" s="651"/>
      <c r="Y88" s="651"/>
      <c r="Z88" s="651"/>
      <c r="AA88" s="651"/>
      <c r="AB88" s="651"/>
      <c r="AC88" s="651"/>
      <c r="AD88" s="651"/>
    </row>
    <row r="89" spans="1:30" ht="72" x14ac:dyDescent="0.25">
      <c r="A89" s="141" t="s">
        <v>761</v>
      </c>
      <c r="B89" s="104" t="s">
        <v>762</v>
      </c>
      <c r="C89" s="104">
        <f t="shared" ref="C89" si="15">0.05+E89*G89</f>
        <v>7.55</v>
      </c>
      <c r="D89" s="706"/>
      <c r="E89" s="100">
        <v>2.5</v>
      </c>
      <c r="F89" s="92">
        <v>2.1</v>
      </c>
      <c r="G89" s="707">
        <v>3</v>
      </c>
      <c r="H89" s="92">
        <f t="shared" ref="H89" si="16">E89*F89*G89</f>
        <v>15.75</v>
      </c>
      <c r="I89" s="91" t="s">
        <v>36</v>
      </c>
      <c r="J89" s="92">
        <f t="shared" ref="J89" si="17">0.4+E89*G89</f>
        <v>7.9</v>
      </c>
      <c r="K89" s="92">
        <f t="shared" ref="K89" si="18">2.5*H89</f>
        <v>39.375</v>
      </c>
      <c r="L89" s="92"/>
      <c r="M89" s="92">
        <f t="shared" ref="M89" si="19">G89</f>
        <v>3</v>
      </c>
      <c r="N89" s="139">
        <f t="shared" ref="N89" si="20">M89</f>
        <v>3</v>
      </c>
      <c r="O89" s="662"/>
      <c r="P89" s="654"/>
      <c r="Q89" s="655"/>
      <c r="R89" s="656"/>
      <c r="S89" s="654"/>
      <c r="T89" s="654"/>
      <c r="U89" s="654"/>
      <c r="V89" s="654"/>
      <c r="W89" s="654"/>
      <c r="X89" s="654"/>
      <c r="Y89" s="654"/>
      <c r="Z89" s="654"/>
      <c r="AA89" s="654"/>
      <c r="AB89" s="654"/>
      <c r="AC89" s="654"/>
      <c r="AD89" s="657"/>
    </row>
    <row r="90" spans="1:30" ht="15" customHeight="1" x14ac:dyDescent="0.25">
      <c r="A90" s="141"/>
      <c r="B90" s="76" t="s">
        <v>39</v>
      </c>
      <c r="C90" s="51">
        <f>SUM(C89:C89)</f>
        <v>7.55</v>
      </c>
      <c r="D90" s="51"/>
      <c r="E90" s="19"/>
      <c r="F90" s="19"/>
      <c r="G90" s="167"/>
      <c r="H90" s="708">
        <f>SUM(H89:H89)</f>
        <v>15.75</v>
      </c>
      <c r="I90" s="167"/>
      <c r="J90" s="99">
        <f>SUM(J89:J89)</f>
        <v>7.9</v>
      </c>
      <c r="K90" s="99">
        <f>SUM(K89:K89)</f>
        <v>39.375</v>
      </c>
      <c r="L90" s="596"/>
      <c r="M90" s="596"/>
      <c r="N90" s="596"/>
      <c r="O90" s="662"/>
      <c r="P90" s="654"/>
      <c r="Q90" s="655"/>
      <c r="R90" s="656"/>
      <c r="S90" s="654"/>
      <c r="T90" s="654"/>
      <c r="U90" s="654"/>
      <c r="V90" s="654"/>
      <c r="W90" s="654"/>
      <c r="X90" s="654"/>
      <c r="Y90" s="654"/>
      <c r="Z90" s="654"/>
      <c r="AA90" s="654"/>
      <c r="AB90" s="654"/>
      <c r="AC90" s="654"/>
      <c r="AD90" s="657"/>
    </row>
    <row r="91" spans="1:30" ht="15.6" x14ac:dyDescent="0.25">
      <c r="A91" s="141" t="s">
        <v>779</v>
      </c>
      <c r="B91" s="2" t="s">
        <v>43</v>
      </c>
      <c r="C91" s="3"/>
      <c r="D91" s="4"/>
      <c r="E91" s="4"/>
      <c r="F91" s="4"/>
      <c r="G91" s="3"/>
      <c r="H91" s="5"/>
      <c r="I91" s="6"/>
      <c r="J91" s="5"/>
      <c r="K91" s="79"/>
      <c r="L91" s="79"/>
    </row>
    <row r="92" spans="1:30" ht="14.4" x14ac:dyDescent="0.25">
      <c r="B92" s="878" t="s">
        <v>1</v>
      </c>
      <c r="C92" s="8" t="s">
        <v>0</v>
      </c>
      <c r="D92" s="68" t="s">
        <v>12</v>
      </c>
      <c r="E92" s="68" t="s">
        <v>4</v>
      </c>
      <c r="F92" s="68" t="s">
        <v>2</v>
      </c>
      <c r="G92" s="68" t="s">
        <v>6</v>
      </c>
      <c r="H92" s="67" t="s">
        <v>5</v>
      </c>
      <c r="I92" s="9" t="s">
        <v>35</v>
      </c>
      <c r="J92" s="67" t="s">
        <v>14</v>
      </c>
      <c r="K92" s="826" t="s">
        <v>7</v>
      </c>
      <c r="L92" s="881" t="s">
        <v>8</v>
      </c>
      <c r="M92" s="1"/>
    </row>
    <row r="93" spans="1:30" ht="14.4" x14ac:dyDescent="0.3">
      <c r="B93" s="878"/>
      <c r="C93" s="47" t="s">
        <v>9</v>
      </c>
      <c r="D93" s="48" t="s">
        <v>10</v>
      </c>
      <c r="E93" s="48" t="s">
        <v>10</v>
      </c>
      <c r="F93" s="48" t="s">
        <v>10</v>
      </c>
      <c r="G93" s="47" t="s">
        <v>9</v>
      </c>
      <c r="H93" s="49" t="s">
        <v>11</v>
      </c>
      <c r="I93" s="49" t="s">
        <v>11</v>
      </c>
      <c r="J93" s="49" t="s">
        <v>15</v>
      </c>
      <c r="K93" s="826"/>
      <c r="L93" s="881"/>
      <c r="M93" s="1"/>
    </row>
    <row r="94" spans="1:30" ht="14.4" x14ac:dyDescent="0.3">
      <c r="B94" s="93" t="s">
        <v>44</v>
      </c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"/>
    </row>
    <row r="95" spans="1:30" ht="14.4" x14ac:dyDescent="0.25">
      <c r="B95" s="252" t="s">
        <v>668</v>
      </c>
      <c r="C95" s="11"/>
      <c r="D95" s="111">
        <v>15.57</v>
      </c>
      <c r="E95" s="111">
        <v>9.1199999999999992</v>
      </c>
      <c r="F95" s="54"/>
      <c r="G95" s="84">
        <v>1</v>
      </c>
      <c r="H95" s="109">
        <f>D95*E95*G95</f>
        <v>141.9984</v>
      </c>
      <c r="I95" s="11"/>
      <c r="J95" s="11"/>
      <c r="K95" s="15" t="s">
        <v>3</v>
      </c>
      <c r="L95" s="112">
        <f>H95</f>
        <v>141.9984</v>
      </c>
      <c r="M95" s="1"/>
    </row>
    <row r="96" spans="1:30" ht="14.4" x14ac:dyDescent="0.25">
      <c r="B96" s="252"/>
      <c r="C96" s="11"/>
      <c r="D96" s="111"/>
      <c r="E96" s="111"/>
      <c r="F96" s="54"/>
      <c r="G96" s="84"/>
      <c r="H96" s="109"/>
      <c r="I96" s="11"/>
      <c r="J96" s="11"/>
      <c r="K96" s="15"/>
      <c r="L96" s="112"/>
      <c r="M96" s="1"/>
    </row>
    <row r="97" spans="2:13" ht="14.4" x14ac:dyDescent="0.25">
      <c r="B97" s="21" t="s">
        <v>27</v>
      </c>
      <c r="C97" s="12"/>
      <c r="D97" s="12"/>
      <c r="E97" s="12"/>
      <c r="F97" s="12"/>
      <c r="G97" s="12"/>
      <c r="H97" s="101"/>
      <c r="I97" s="12"/>
      <c r="J97" s="12"/>
      <c r="K97" s="14" t="s">
        <v>3</v>
      </c>
      <c r="L97" s="101">
        <f>SUM(L95:L96)</f>
        <v>141.9984</v>
      </c>
      <c r="M97" s="1"/>
    </row>
    <row r="98" spans="2:13" ht="14.4" x14ac:dyDescent="0.25">
      <c r="B98" s="877" t="s">
        <v>1</v>
      </c>
      <c r="C98" s="55" t="s">
        <v>0</v>
      </c>
      <c r="D98" s="52" t="s">
        <v>12</v>
      </c>
      <c r="E98" s="52" t="s">
        <v>4</v>
      </c>
      <c r="F98" s="52" t="s">
        <v>2</v>
      </c>
      <c r="G98" s="52" t="s">
        <v>6</v>
      </c>
      <c r="H98" s="148" t="s">
        <v>5</v>
      </c>
      <c r="I98" s="56" t="s">
        <v>35</v>
      </c>
      <c r="J98" s="148" t="s">
        <v>14</v>
      </c>
      <c r="K98" s="826" t="s">
        <v>7</v>
      </c>
      <c r="L98" s="879" t="s">
        <v>8</v>
      </c>
    </row>
    <row r="99" spans="2:13" ht="14.4" x14ac:dyDescent="0.3">
      <c r="B99" s="878"/>
      <c r="C99" s="47" t="s">
        <v>9</v>
      </c>
      <c r="D99" s="48" t="s">
        <v>10</v>
      </c>
      <c r="E99" s="48" t="s">
        <v>10</v>
      </c>
      <c r="F99" s="48" t="s">
        <v>10</v>
      </c>
      <c r="G99" s="47" t="s">
        <v>9</v>
      </c>
      <c r="H99" s="49" t="s">
        <v>11</v>
      </c>
      <c r="I99" s="49" t="s">
        <v>11</v>
      </c>
      <c r="J99" s="49" t="s">
        <v>15</v>
      </c>
      <c r="K99" s="826"/>
      <c r="L99" s="880"/>
    </row>
    <row r="100" spans="2:13" ht="15" customHeight="1" x14ac:dyDescent="0.3">
      <c r="B100" s="665" t="s">
        <v>200</v>
      </c>
      <c r="C100" s="110"/>
      <c r="D100" s="110"/>
      <c r="E100" s="110"/>
      <c r="F100" s="110"/>
      <c r="G100" s="110"/>
      <c r="H100" s="110"/>
      <c r="I100" s="110"/>
      <c r="J100" s="110"/>
      <c r="K100" s="110"/>
      <c r="L100" s="251"/>
    </row>
    <row r="101" spans="2:13" ht="15" customHeight="1" x14ac:dyDescent="0.25">
      <c r="B101" s="11" t="s">
        <v>764</v>
      </c>
      <c r="C101" s="17"/>
      <c r="D101" s="16">
        <v>50.14</v>
      </c>
      <c r="E101" s="17">
        <v>0.25</v>
      </c>
      <c r="F101" s="17"/>
      <c r="G101" s="91">
        <v>1</v>
      </c>
      <c r="H101" s="17">
        <f>D101*E101*G101</f>
        <v>12.535</v>
      </c>
      <c r="I101" s="17"/>
      <c r="J101" s="17"/>
      <c r="K101" s="15" t="s">
        <v>3</v>
      </c>
      <c r="L101" s="253">
        <f>H101</f>
        <v>12.535</v>
      </c>
    </row>
    <row r="102" spans="2:13" ht="15" customHeight="1" x14ac:dyDescent="0.25">
      <c r="B102" s="11"/>
      <c r="C102" s="17"/>
      <c r="D102" s="16"/>
      <c r="E102" s="17"/>
      <c r="F102" s="17"/>
      <c r="G102" s="91"/>
      <c r="H102" s="17"/>
      <c r="I102" s="17"/>
      <c r="J102" s="17"/>
      <c r="K102" s="15"/>
      <c r="L102" s="253"/>
    </row>
    <row r="103" spans="2:13" ht="15" customHeight="1" x14ac:dyDescent="0.25">
      <c r="B103" s="21" t="s">
        <v>27</v>
      </c>
      <c r="C103" s="12"/>
      <c r="D103" s="35">
        <f>SUM(D101:D102)</f>
        <v>50.14</v>
      </c>
      <c r="E103" s="12"/>
      <c r="F103" s="12"/>
      <c r="G103" s="12"/>
      <c r="H103" s="101"/>
      <c r="I103" s="12"/>
      <c r="J103" s="12"/>
      <c r="K103" s="14" t="s">
        <v>3</v>
      </c>
      <c r="L103" s="250">
        <f>SUM(L101:L102)</f>
        <v>12.535</v>
      </c>
    </row>
    <row r="104" spans="2:13" ht="15.6" x14ac:dyDescent="0.25">
      <c r="B104" s="623" t="s">
        <v>765</v>
      </c>
      <c r="C104" s="666"/>
      <c r="D104" s="667"/>
      <c r="E104" s="667"/>
      <c r="F104" s="667"/>
      <c r="G104" s="666"/>
      <c r="H104" s="628"/>
      <c r="I104" s="668"/>
    </row>
    <row r="105" spans="2:13" ht="14.4" x14ac:dyDescent="0.25">
      <c r="B105" s="823" t="s">
        <v>1</v>
      </c>
      <c r="C105" s="8" t="s">
        <v>766</v>
      </c>
      <c r="D105" s="68" t="s">
        <v>767</v>
      </c>
      <c r="E105" s="68" t="s">
        <v>2</v>
      </c>
      <c r="F105" s="68" t="s">
        <v>6</v>
      </c>
      <c r="G105" s="669" t="s">
        <v>768</v>
      </c>
      <c r="H105" s="823" t="s">
        <v>7</v>
      </c>
      <c r="I105" s="825" t="s">
        <v>769</v>
      </c>
    </row>
    <row r="106" spans="2:13" ht="14.4" x14ac:dyDescent="0.3">
      <c r="B106" s="828"/>
      <c r="C106" s="47" t="s">
        <v>770</v>
      </c>
      <c r="D106" s="48" t="s">
        <v>770</v>
      </c>
      <c r="E106" s="48" t="s">
        <v>10</v>
      </c>
      <c r="F106" s="47" t="s">
        <v>9</v>
      </c>
      <c r="G106" s="49" t="s">
        <v>771</v>
      </c>
      <c r="H106" s="828"/>
      <c r="I106" s="829"/>
    </row>
    <row r="107" spans="2:13" ht="28.8" x14ac:dyDescent="0.25">
      <c r="B107" s="670" t="s">
        <v>772</v>
      </c>
      <c r="C107" s="671"/>
      <c r="D107" s="12"/>
      <c r="E107" s="12"/>
      <c r="F107" s="12"/>
      <c r="G107" s="12"/>
      <c r="H107" s="14"/>
      <c r="I107" s="106"/>
    </row>
    <row r="108" spans="2:13" ht="15" customHeight="1" x14ac:dyDescent="0.25">
      <c r="B108" s="672" t="s">
        <v>668</v>
      </c>
      <c r="C108" s="673">
        <v>142</v>
      </c>
      <c r="D108" s="107">
        <v>49.3</v>
      </c>
      <c r="E108" s="673">
        <v>0.3</v>
      </c>
      <c r="F108" s="108">
        <v>1</v>
      </c>
      <c r="G108" s="674">
        <f t="shared" ref="G108" si="21">C108+(D108*E108*F108)</f>
        <v>156.79</v>
      </c>
      <c r="H108" s="15" t="s">
        <v>3</v>
      </c>
      <c r="I108" s="675">
        <f>G108</f>
        <v>156.79</v>
      </c>
    </row>
    <row r="109" spans="2:13" ht="15" customHeight="1" x14ac:dyDescent="0.25">
      <c r="B109" s="672"/>
      <c r="C109" s="673"/>
      <c r="D109" s="107"/>
      <c r="E109" s="144"/>
      <c r="F109" s="108"/>
      <c r="G109" s="674"/>
      <c r="H109" s="15"/>
      <c r="I109" s="675"/>
    </row>
    <row r="110" spans="2:13" ht="15" customHeight="1" x14ac:dyDescent="0.25">
      <c r="B110" s="677" t="s">
        <v>39</v>
      </c>
      <c r="C110" s="686"/>
      <c r="D110" s="687"/>
      <c r="E110" s="676"/>
      <c r="F110" s="688"/>
      <c r="G110" s="19"/>
      <c r="H110" s="14" t="s">
        <v>3</v>
      </c>
      <c r="I110" s="106">
        <f>SUM(I108:I109)</f>
        <v>156.79</v>
      </c>
    </row>
    <row r="111" spans="2:13" ht="15" customHeight="1" x14ac:dyDescent="0.25">
      <c r="B111" s="678"/>
      <c r="C111" s="679"/>
      <c r="D111" s="679"/>
      <c r="E111" s="679"/>
      <c r="F111" s="680"/>
      <c r="G111" s="681"/>
      <c r="H111" s="682"/>
      <c r="I111" s="683"/>
    </row>
    <row r="112" spans="2:13" ht="15" customHeight="1" x14ac:dyDescent="0.25">
      <c r="B112" s="684" t="s">
        <v>773</v>
      </c>
      <c r="C112" s="685"/>
      <c r="D112" s="685"/>
      <c r="E112" s="685"/>
      <c r="F112" s="685"/>
      <c r="G112" s="685"/>
      <c r="H112" s="682" t="s">
        <v>3</v>
      </c>
      <c r="I112" s="729">
        <f>I110</f>
        <v>156.79</v>
      </c>
      <c r="J112" s="663"/>
      <c r="K112" s="77"/>
      <c r="L112" s="77"/>
    </row>
    <row r="113" spans="1:15" ht="15" customHeight="1" x14ac:dyDescent="0.25">
      <c r="A113" s="141" t="s">
        <v>779</v>
      </c>
      <c r="B113" s="2" t="s">
        <v>774</v>
      </c>
      <c r="C113" s="3"/>
      <c r="D113" s="4"/>
      <c r="E113" s="4"/>
      <c r="F113" s="4"/>
      <c r="G113" s="3"/>
      <c r="H113" s="5"/>
      <c r="I113" s="6"/>
      <c r="J113" s="27"/>
      <c r="K113" s="27"/>
      <c r="L113" s="27"/>
      <c r="M113" s="728"/>
      <c r="N113" s="724"/>
    </row>
    <row r="114" spans="1:15" ht="49.95" customHeight="1" x14ac:dyDescent="0.25">
      <c r="B114" s="689" t="s">
        <v>775</v>
      </c>
      <c r="C114" s="690" t="s">
        <v>23</v>
      </c>
      <c r="D114" s="691" t="s">
        <v>2</v>
      </c>
      <c r="E114" s="741" t="s">
        <v>788</v>
      </c>
      <c r="F114" s="691" t="s">
        <v>13</v>
      </c>
      <c r="G114" s="691" t="s">
        <v>5</v>
      </c>
      <c r="H114" s="691" t="s">
        <v>42</v>
      </c>
      <c r="I114" s="690" t="s">
        <v>24</v>
      </c>
      <c r="J114" s="690" t="s">
        <v>25</v>
      </c>
      <c r="K114" s="690" t="s">
        <v>26</v>
      </c>
      <c r="L114" s="731" t="s">
        <v>776</v>
      </c>
      <c r="M114" s="737"/>
      <c r="N114" s="733"/>
      <c r="O114" s="733"/>
    </row>
    <row r="115" spans="1:15" ht="15" customHeight="1" x14ac:dyDescent="0.25">
      <c r="B115" s="692"/>
      <c r="C115" s="693" t="s">
        <v>787</v>
      </c>
      <c r="D115" s="694"/>
      <c r="E115" s="694"/>
      <c r="F115" s="90"/>
      <c r="G115" s="695"/>
      <c r="H115" s="89"/>
      <c r="I115" s="695"/>
      <c r="J115" s="695"/>
      <c r="K115" s="696"/>
      <c r="L115" s="284"/>
      <c r="M115" s="738"/>
      <c r="N115" s="734"/>
      <c r="O115" s="734"/>
    </row>
    <row r="116" spans="1:15" ht="15" customHeight="1" x14ac:dyDescent="0.25">
      <c r="B116" s="34"/>
      <c r="C116" s="697"/>
      <c r="D116" s="74">
        <v>6.55</v>
      </c>
      <c r="E116" s="74">
        <v>57.4</v>
      </c>
      <c r="F116" s="45">
        <v>19.95</v>
      </c>
      <c r="G116" s="698">
        <f>D116*E116*H116-F116</f>
        <v>356.02</v>
      </c>
      <c r="H116" s="86">
        <v>1</v>
      </c>
      <c r="I116" s="699">
        <f t="shared" ref="I116" si="22">G116</f>
        <v>356.02</v>
      </c>
      <c r="J116" s="700">
        <f t="shared" ref="J116" si="23">I116-K116</f>
        <v>356.02</v>
      </c>
      <c r="K116" s="701"/>
      <c r="L116" s="732">
        <f>J116</f>
        <v>356.02</v>
      </c>
      <c r="M116" s="739"/>
      <c r="N116" s="735"/>
      <c r="O116" s="735"/>
    </row>
    <row r="117" spans="1:15" ht="15" customHeight="1" x14ac:dyDescent="0.25">
      <c r="B117" s="34"/>
      <c r="C117" s="702"/>
      <c r="D117" s="32"/>
      <c r="E117" s="32"/>
      <c r="F117" s="41"/>
      <c r="G117" s="698"/>
      <c r="H117" s="83"/>
      <c r="I117" s="699"/>
      <c r="J117" s="700"/>
      <c r="K117" s="703"/>
      <c r="L117" s="732"/>
      <c r="M117" s="739"/>
      <c r="N117" s="735"/>
      <c r="O117" s="735"/>
    </row>
    <row r="118" spans="1:15" ht="15" customHeight="1" x14ac:dyDescent="0.25">
      <c r="B118" s="137" t="s">
        <v>22</v>
      </c>
      <c r="C118" s="704"/>
      <c r="D118" s="705"/>
      <c r="E118" s="130"/>
      <c r="F118" s="130"/>
      <c r="G118" s="130">
        <f>SUM(G116:G117)</f>
        <v>356.02</v>
      </c>
      <c r="H118" s="130"/>
      <c r="I118" s="130">
        <f>SUM(I116:I117)</f>
        <v>356.02</v>
      </c>
      <c r="J118" s="130">
        <f>SUM(J116:J117)</f>
        <v>356.02</v>
      </c>
      <c r="K118" s="130">
        <f>SUM(K116:K117)</f>
        <v>0</v>
      </c>
      <c r="L118" s="740">
        <f>SUM(L116:L117)</f>
        <v>356.02</v>
      </c>
      <c r="M118" s="736"/>
      <c r="N118" s="736"/>
      <c r="O118" s="736"/>
    </row>
  </sheetData>
  <mergeCells count="49">
    <mergeCell ref="B105:B106"/>
    <mergeCell ref="H105:H106"/>
    <mergeCell ref="I105:I106"/>
    <mergeCell ref="B92:B93"/>
    <mergeCell ref="K92:K93"/>
    <mergeCell ref="L92:L93"/>
    <mergeCell ref="B98:B99"/>
    <mergeCell ref="K98:K99"/>
    <mergeCell ref="L98:L99"/>
    <mergeCell ref="AD86:AD87"/>
    <mergeCell ref="I86:I87"/>
    <mergeCell ref="M86:M87"/>
    <mergeCell ref="N86:N87"/>
    <mergeCell ref="H72:H73"/>
    <mergeCell ref="I72:I73"/>
    <mergeCell ref="B86:B87"/>
    <mergeCell ref="I58:I59"/>
    <mergeCell ref="B72:B73"/>
    <mergeCell ref="C72:C73"/>
    <mergeCell ref="D72:D73"/>
    <mergeCell ref="E72:E73"/>
    <mergeCell ref="F72:F73"/>
    <mergeCell ref="G72:G73"/>
    <mergeCell ref="F58:F59"/>
    <mergeCell ref="G58:G59"/>
    <mergeCell ref="H58:H59"/>
    <mergeCell ref="B43:B44"/>
    <mergeCell ref="B58:B59"/>
    <mergeCell ref="C58:C59"/>
    <mergeCell ref="D58:D59"/>
    <mergeCell ref="E58:E59"/>
    <mergeCell ref="I43:I44"/>
    <mergeCell ref="J43:J44"/>
    <mergeCell ref="K43:K44"/>
    <mergeCell ref="C43:C44"/>
    <mergeCell ref="D43:D44"/>
    <mergeCell ref="E43:E44"/>
    <mergeCell ref="F43:F44"/>
    <mergeCell ref="G43:G44"/>
    <mergeCell ref="H43:H44"/>
    <mergeCell ref="B31:B32"/>
    <mergeCell ref="K31:K32"/>
    <mergeCell ref="L31:L32"/>
    <mergeCell ref="B7:B8"/>
    <mergeCell ref="K7:K8"/>
    <mergeCell ref="L7:L8"/>
    <mergeCell ref="B23:B24"/>
    <mergeCell ref="K23:K24"/>
    <mergeCell ref="L23:L24"/>
  </mergeCells>
  <dataValidations count="1">
    <dataValidation type="list" allowBlank="1" showInputMessage="1" showErrorMessage="1" sqref="H23:H25 H31:H33 P86:P87 H86:H87 H92:H93 I93 H98:H99 I99" xr:uid="{00000000-0002-0000-0B00-000000000000}">
      <formula1>"G,T,E,O"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185"/>
  <sheetViews>
    <sheetView topLeftCell="A1162" workbookViewId="0">
      <selection activeCell="B1187" sqref="B1187"/>
    </sheetView>
  </sheetViews>
  <sheetFormatPr defaultRowHeight="13.2" x14ac:dyDescent="0.25"/>
  <cols>
    <col min="1" max="1" width="11.77734375" customWidth="1"/>
    <col min="2" max="2" width="56.77734375" customWidth="1"/>
    <col min="3" max="3" width="12.6640625" customWidth="1"/>
    <col min="4" max="4" width="14" customWidth="1"/>
    <col min="6" max="6" width="9" customWidth="1"/>
    <col min="7" max="7" width="9.6640625" customWidth="1"/>
    <col min="10" max="10" width="6.77734375" customWidth="1"/>
  </cols>
  <sheetData>
    <row r="2" spans="1:13" ht="14.4" x14ac:dyDescent="0.25">
      <c r="B2" s="152" t="s">
        <v>55</v>
      </c>
      <c r="C2" s="153"/>
    </row>
    <row r="3" spans="1:13" ht="14.4" x14ac:dyDescent="0.25">
      <c r="B3" s="152" t="s">
        <v>56</v>
      </c>
      <c r="C3" s="153"/>
    </row>
    <row r="4" spans="1:13" ht="14.4" x14ac:dyDescent="0.25">
      <c r="B4" s="154" t="s">
        <v>54</v>
      </c>
      <c r="D4" s="69"/>
      <c r="E4" s="72"/>
      <c r="F4" s="72"/>
      <c r="G4" s="72"/>
      <c r="H4" s="72"/>
      <c r="I4" s="72"/>
    </row>
    <row r="5" spans="1:13" ht="14.4" x14ac:dyDescent="0.25">
      <c r="B5" s="70"/>
      <c r="C5" s="71"/>
      <c r="D5" s="69"/>
      <c r="E5" s="72"/>
      <c r="F5" s="72"/>
      <c r="G5" s="72"/>
      <c r="H5" s="72"/>
      <c r="I5" s="72"/>
    </row>
    <row r="6" spans="1:13" ht="15.6" x14ac:dyDescent="0.25">
      <c r="B6" s="161" t="s">
        <v>380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1"/>
    </row>
    <row r="7" spans="1:13" ht="14.4" x14ac:dyDescent="0.25">
      <c r="B7" s="155"/>
      <c r="C7" s="71"/>
      <c r="D7" s="69"/>
      <c r="E7" s="72"/>
      <c r="F7" s="72"/>
      <c r="G7" s="72"/>
      <c r="H7" s="72"/>
      <c r="I7" s="72"/>
    </row>
    <row r="8" spans="1:13" ht="15.6" x14ac:dyDescent="0.25">
      <c r="B8" s="2" t="s">
        <v>29</v>
      </c>
      <c r="C8" s="3"/>
      <c r="D8" s="4"/>
      <c r="E8" s="4"/>
      <c r="F8" s="4"/>
      <c r="G8" s="3"/>
      <c r="H8" s="5"/>
      <c r="I8" s="6"/>
      <c r="J8" s="5"/>
      <c r="K8" s="5"/>
      <c r="L8" s="7"/>
    </row>
    <row r="9" spans="1:13" ht="15.6" x14ac:dyDescent="0.25">
      <c r="B9" s="539" t="s">
        <v>644</v>
      </c>
      <c r="C9" s="540"/>
      <c r="D9" s="541"/>
      <c r="E9" s="541"/>
      <c r="F9" s="541"/>
      <c r="G9" s="540"/>
      <c r="H9" s="542"/>
      <c r="I9" s="543"/>
      <c r="J9" s="542"/>
      <c r="K9" s="542"/>
      <c r="L9" s="544"/>
    </row>
    <row r="10" spans="1:13" ht="15.6" x14ac:dyDescent="0.25">
      <c r="B10" s="460" t="s">
        <v>50</v>
      </c>
      <c r="C10" s="461"/>
      <c r="D10" s="462"/>
      <c r="E10" s="461"/>
      <c r="F10" s="463"/>
      <c r="G10" s="464"/>
      <c r="H10" s="465"/>
      <c r="I10" s="465"/>
      <c r="J10" s="465"/>
      <c r="K10" s="466"/>
      <c r="L10" s="467"/>
    </row>
    <row r="11" spans="1:13" ht="14.4" x14ac:dyDescent="0.25">
      <c r="B11" s="822" t="s">
        <v>1</v>
      </c>
      <c r="C11" s="55" t="s">
        <v>0</v>
      </c>
      <c r="D11" s="52" t="s">
        <v>12</v>
      </c>
      <c r="E11" s="52" t="s">
        <v>4</v>
      </c>
      <c r="F11" s="52" t="s">
        <v>2</v>
      </c>
      <c r="G11" s="52" t="s">
        <v>6</v>
      </c>
      <c r="H11" s="148" t="s">
        <v>5</v>
      </c>
      <c r="I11" s="56" t="s">
        <v>13</v>
      </c>
      <c r="J11" s="148" t="s">
        <v>14</v>
      </c>
      <c r="K11" s="822" t="s">
        <v>7</v>
      </c>
      <c r="L11" s="824" t="s">
        <v>8</v>
      </c>
    </row>
    <row r="12" spans="1:13" ht="14.4" x14ac:dyDescent="0.3">
      <c r="B12" s="823"/>
      <c r="C12" s="80" t="s">
        <v>9</v>
      </c>
      <c r="D12" s="81" t="s">
        <v>10</v>
      </c>
      <c r="E12" s="81" t="s">
        <v>10</v>
      </c>
      <c r="F12" s="81" t="s">
        <v>10</v>
      </c>
      <c r="G12" s="80" t="s">
        <v>9</v>
      </c>
      <c r="H12" s="82" t="s">
        <v>11</v>
      </c>
      <c r="I12" s="113" t="s">
        <v>11</v>
      </c>
      <c r="J12" s="82" t="s">
        <v>15</v>
      </c>
      <c r="K12" s="823"/>
      <c r="L12" s="825"/>
    </row>
    <row r="13" spans="1:13" ht="15" customHeight="1" x14ac:dyDescent="0.3">
      <c r="B13" s="20" t="s">
        <v>699</v>
      </c>
      <c r="C13" s="381"/>
      <c r="D13" s="382"/>
      <c r="E13" s="382"/>
      <c r="F13" s="382"/>
      <c r="G13" s="381"/>
      <c r="H13" s="383"/>
      <c r="I13" s="384"/>
      <c r="J13" s="383"/>
      <c r="K13" s="383"/>
      <c r="L13" s="7"/>
    </row>
    <row r="14" spans="1:13" ht="14.4" x14ac:dyDescent="0.25">
      <c r="A14" s="224"/>
      <c r="B14" s="217" t="s">
        <v>53</v>
      </c>
      <c r="C14" s="398"/>
      <c r="D14" s="389">
        <v>2.27</v>
      </c>
      <c r="E14" s="389"/>
      <c r="F14" s="389">
        <v>3.19</v>
      </c>
      <c r="G14" s="390">
        <v>2</v>
      </c>
      <c r="H14" s="389">
        <f t="shared" ref="H14:H66" si="0">D14*F14*G14-I14</f>
        <v>9.0226000000000006</v>
      </c>
      <c r="I14" s="483">
        <v>5.46</v>
      </c>
      <c r="J14" s="399"/>
      <c r="K14" s="399" t="s">
        <v>3</v>
      </c>
      <c r="L14" s="389">
        <f>H14</f>
        <v>9.0226000000000006</v>
      </c>
    </row>
    <row r="15" spans="1:13" ht="14.4" x14ac:dyDescent="0.25">
      <c r="A15" s="224"/>
      <c r="B15" s="217" t="s">
        <v>475</v>
      </c>
      <c r="C15" s="398"/>
      <c r="D15" s="389">
        <v>0.4</v>
      </c>
      <c r="E15" s="389"/>
      <c r="F15" s="389">
        <v>3.19</v>
      </c>
      <c r="G15" s="390">
        <v>1</v>
      </c>
      <c r="H15" s="389">
        <f t="shared" si="0"/>
        <v>1.276</v>
      </c>
      <c r="I15" s="483"/>
      <c r="J15" s="399"/>
      <c r="K15" s="399" t="s">
        <v>3</v>
      </c>
      <c r="L15" s="389">
        <f t="shared" ref="L15:L66" si="1">H15</f>
        <v>1.276</v>
      </c>
    </row>
    <row r="16" spans="1:13" ht="13.8" x14ac:dyDescent="0.25">
      <c r="A16" s="218"/>
      <c r="B16" s="522" t="s">
        <v>476</v>
      </c>
      <c r="C16" s="398"/>
      <c r="D16" s="389">
        <v>1.1399999999999999</v>
      </c>
      <c r="E16" s="389"/>
      <c r="F16" s="389">
        <v>3.19</v>
      </c>
      <c r="G16" s="390">
        <v>1</v>
      </c>
      <c r="H16" s="389">
        <f t="shared" si="0"/>
        <v>3.6365999999999996</v>
      </c>
      <c r="I16" s="483"/>
      <c r="J16" s="399"/>
      <c r="K16" s="399" t="s">
        <v>3</v>
      </c>
      <c r="L16" s="389">
        <f t="shared" si="1"/>
        <v>3.6365999999999996</v>
      </c>
    </row>
    <row r="17" spans="1:12" ht="13.8" x14ac:dyDescent="0.25">
      <c r="A17" s="218"/>
      <c r="B17" s="522" t="s">
        <v>477</v>
      </c>
      <c r="C17" s="398"/>
      <c r="D17" s="389">
        <v>2.74</v>
      </c>
      <c r="E17" s="389"/>
      <c r="F17" s="389">
        <v>3.19</v>
      </c>
      <c r="G17" s="390">
        <v>1</v>
      </c>
      <c r="H17" s="389">
        <f t="shared" si="0"/>
        <v>2.6306000000000003</v>
      </c>
      <c r="I17" s="483">
        <v>6.11</v>
      </c>
      <c r="J17" s="399"/>
      <c r="K17" s="399" t="s">
        <v>3</v>
      </c>
      <c r="L17" s="389">
        <f t="shared" si="1"/>
        <v>2.6306000000000003</v>
      </c>
    </row>
    <row r="18" spans="1:12" ht="13.8" x14ac:dyDescent="0.25">
      <c r="A18" s="218"/>
      <c r="B18" s="522" t="s">
        <v>478</v>
      </c>
      <c r="C18" s="398"/>
      <c r="D18" s="389">
        <v>0.9</v>
      </c>
      <c r="E18" s="389"/>
      <c r="F18" s="389">
        <v>3.19</v>
      </c>
      <c r="G18" s="390">
        <v>1</v>
      </c>
      <c r="H18" s="389">
        <f t="shared" si="0"/>
        <v>2.871</v>
      </c>
      <c r="I18" s="483"/>
      <c r="J18" s="399"/>
      <c r="K18" s="399" t="s">
        <v>3</v>
      </c>
      <c r="L18" s="389">
        <f t="shared" si="1"/>
        <v>2.871</v>
      </c>
    </row>
    <row r="19" spans="1:12" ht="13.8" x14ac:dyDescent="0.25">
      <c r="A19" s="218"/>
      <c r="B19" s="522" t="s">
        <v>479</v>
      </c>
      <c r="C19" s="398"/>
      <c r="D19" s="389">
        <v>3.55</v>
      </c>
      <c r="E19" s="389"/>
      <c r="F19" s="389">
        <v>3.19</v>
      </c>
      <c r="G19" s="390">
        <v>1</v>
      </c>
      <c r="H19" s="389">
        <f t="shared" si="0"/>
        <v>2.4844999999999988</v>
      </c>
      <c r="I19" s="483">
        <v>8.84</v>
      </c>
      <c r="J19" s="399"/>
      <c r="K19" s="399" t="s">
        <v>3</v>
      </c>
      <c r="L19" s="389">
        <f t="shared" si="1"/>
        <v>2.4844999999999988</v>
      </c>
    </row>
    <row r="20" spans="1:12" ht="13.8" x14ac:dyDescent="0.25">
      <c r="A20" s="218"/>
      <c r="B20" s="522" t="s">
        <v>480</v>
      </c>
      <c r="C20" s="398"/>
      <c r="D20" s="389">
        <v>0.32</v>
      </c>
      <c r="E20" s="389"/>
      <c r="F20" s="389">
        <v>3.19</v>
      </c>
      <c r="G20" s="390">
        <v>2</v>
      </c>
      <c r="H20" s="389">
        <f t="shared" si="0"/>
        <v>2.0415999999999999</v>
      </c>
      <c r="I20" s="483"/>
      <c r="J20" s="399"/>
      <c r="K20" s="399" t="s">
        <v>3</v>
      </c>
      <c r="L20" s="389">
        <f t="shared" si="1"/>
        <v>2.0415999999999999</v>
      </c>
    </row>
    <row r="21" spans="1:12" ht="13.8" x14ac:dyDescent="0.25">
      <c r="A21" s="218"/>
      <c r="B21" s="522" t="s">
        <v>481</v>
      </c>
      <c r="C21" s="398"/>
      <c r="D21" s="389">
        <v>5.64</v>
      </c>
      <c r="E21" s="389"/>
      <c r="F21" s="389">
        <v>3.19</v>
      </c>
      <c r="G21" s="390">
        <v>1</v>
      </c>
      <c r="H21" s="389">
        <f t="shared" si="0"/>
        <v>14.631599999999999</v>
      </c>
      <c r="I21" s="483">
        <v>3.36</v>
      </c>
      <c r="J21" s="399"/>
      <c r="K21" s="399" t="s">
        <v>3</v>
      </c>
      <c r="L21" s="389">
        <f t="shared" si="1"/>
        <v>14.631599999999999</v>
      </c>
    </row>
    <row r="22" spans="1:12" ht="13.8" x14ac:dyDescent="0.25">
      <c r="A22" s="218"/>
      <c r="B22" s="522" t="s">
        <v>482</v>
      </c>
      <c r="C22" s="398"/>
      <c r="D22" s="389">
        <v>1.65</v>
      </c>
      <c r="E22" s="389"/>
      <c r="F22" s="389">
        <v>3.19</v>
      </c>
      <c r="G22" s="390">
        <v>2</v>
      </c>
      <c r="H22" s="389">
        <f t="shared" si="0"/>
        <v>10.526999999999999</v>
      </c>
      <c r="I22" s="483"/>
      <c r="J22" s="399"/>
      <c r="K22" s="399" t="s">
        <v>3</v>
      </c>
      <c r="L22" s="389">
        <f t="shared" si="1"/>
        <v>10.526999999999999</v>
      </c>
    </row>
    <row r="23" spans="1:12" ht="13.8" x14ac:dyDescent="0.25">
      <c r="A23" s="218"/>
      <c r="B23" s="522" t="s">
        <v>487</v>
      </c>
      <c r="C23" s="398"/>
      <c r="D23" s="389">
        <v>5.54</v>
      </c>
      <c r="E23" s="389"/>
      <c r="F23" s="389">
        <v>3.19</v>
      </c>
      <c r="G23" s="390">
        <v>1</v>
      </c>
      <c r="H23" s="389">
        <f t="shared" si="0"/>
        <v>15.362599999999999</v>
      </c>
      <c r="I23" s="483">
        <v>2.31</v>
      </c>
      <c r="J23" s="399"/>
      <c r="K23" s="399" t="s">
        <v>3</v>
      </c>
      <c r="L23" s="389">
        <f t="shared" si="1"/>
        <v>15.362599999999999</v>
      </c>
    </row>
    <row r="24" spans="1:12" ht="13.8" x14ac:dyDescent="0.25">
      <c r="A24" s="218"/>
      <c r="B24" s="522" t="s">
        <v>491</v>
      </c>
      <c r="C24" s="398"/>
      <c r="D24" s="389">
        <v>7.83</v>
      </c>
      <c r="E24" s="389"/>
      <c r="F24" s="389">
        <v>3.19</v>
      </c>
      <c r="G24" s="390">
        <v>1</v>
      </c>
      <c r="H24" s="389">
        <f t="shared" si="0"/>
        <v>24.977699999999999</v>
      </c>
      <c r="I24" s="483"/>
      <c r="J24" s="399"/>
      <c r="K24" s="399" t="s">
        <v>3</v>
      </c>
      <c r="L24" s="389">
        <f t="shared" si="1"/>
        <v>24.977699999999999</v>
      </c>
    </row>
    <row r="25" spans="1:12" ht="13.8" x14ac:dyDescent="0.25">
      <c r="A25" s="218"/>
      <c r="B25" s="522" t="s">
        <v>492</v>
      </c>
      <c r="C25" s="398"/>
      <c r="D25" s="389">
        <v>9.8000000000000007</v>
      </c>
      <c r="E25" s="389"/>
      <c r="F25" s="389">
        <v>3.19</v>
      </c>
      <c r="G25" s="390">
        <v>1</v>
      </c>
      <c r="H25" s="389">
        <f t="shared" si="0"/>
        <v>24.542000000000002</v>
      </c>
      <c r="I25" s="483">
        <v>6.72</v>
      </c>
      <c r="J25" s="399"/>
      <c r="K25" s="399" t="s">
        <v>3</v>
      </c>
      <c r="L25" s="389">
        <f t="shared" si="1"/>
        <v>24.542000000000002</v>
      </c>
    </row>
    <row r="26" spans="1:12" ht="13.8" x14ac:dyDescent="0.25">
      <c r="A26" s="218"/>
      <c r="B26" s="522" t="s">
        <v>494</v>
      </c>
      <c r="C26" s="398"/>
      <c r="D26" s="389">
        <v>3.2</v>
      </c>
      <c r="E26" s="389"/>
      <c r="F26" s="389">
        <v>3.19</v>
      </c>
      <c r="G26" s="390">
        <v>1</v>
      </c>
      <c r="H26" s="389">
        <f t="shared" si="0"/>
        <v>10.208</v>
      </c>
      <c r="I26" s="483"/>
      <c r="J26" s="399"/>
      <c r="K26" s="399" t="s">
        <v>3</v>
      </c>
      <c r="L26" s="389">
        <f t="shared" si="1"/>
        <v>10.208</v>
      </c>
    </row>
    <row r="27" spans="1:12" ht="13.8" x14ac:dyDescent="0.25">
      <c r="A27" s="218"/>
      <c r="B27" s="522" t="s">
        <v>496</v>
      </c>
      <c r="C27" s="398"/>
      <c r="D27" s="389">
        <v>2.8</v>
      </c>
      <c r="E27" s="389"/>
      <c r="F27" s="389">
        <v>3.19</v>
      </c>
      <c r="G27" s="390">
        <v>1</v>
      </c>
      <c r="H27" s="389">
        <f t="shared" si="0"/>
        <v>6.9319999999999986</v>
      </c>
      <c r="I27" s="483">
        <v>2</v>
      </c>
      <c r="J27" s="399"/>
      <c r="K27" s="399" t="s">
        <v>3</v>
      </c>
      <c r="L27" s="389">
        <f t="shared" si="1"/>
        <v>6.9319999999999986</v>
      </c>
    </row>
    <row r="28" spans="1:12" ht="13.8" x14ac:dyDescent="0.25">
      <c r="A28" s="218"/>
      <c r="B28" s="522" t="s">
        <v>497</v>
      </c>
      <c r="C28" s="398"/>
      <c r="D28" s="389">
        <v>2.75</v>
      </c>
      <c r="E28" s="389"/>
      <c r="F28" s="389">
        <v>3.19</v>
      </c>
      <c r="G28" s="390">
        <v>1</v>
      </c>
      <c r="H28" s="389">
        <f t="shared" si="0"/>
        <v>8.7724999999999991</v>
      </c>
      <c r="I28" s="483"/>
      <c r="J28" s="399"/>
      <c r="K28" s="399" t="s">
        <v>3</v>
      </c>
      <c r="L28" s="389">
        <f t="shared" si="1"/>
        <v>8.7724999999999991</v>
      </c>
    </row>
    <row r="29" spans="1:12" ht="13.8" x14ac:dyDescent="0.25">
      <c r="A29" s="218"/>
      <c r="B29" s="522" t="s">
        <v>498</v>
      </c>
      <c r="C29" s="398"/>
      <c r="D29" s="389">
        <v>1.6</v>
      </c>
      <c r="E29" s="389"/>
      <c r="F29" s="389">
        <v>3.19</v>
      </c>
      <c r="G29" s="390">
        <v>1</v>
      </c>
      <c r="H29" s="389">
        <f t="shared" si="0"/>
        <v>5.1040000000000001</v>
      </c>
      <c r="I29" s="483"/>
      <c r="J29" s="399"/>
      <c r="K29" s="399" t="s">
        <v>3</v>
      </c>
      <c r="L29" s="389">
        <f t="shared" si="1"/>
        <v>5.1040000000000001</v>
      </c>
    </row>
    <row r="30" spans="1:12" ht="13.8" x14ac:dyDescent="0.25">
      <c r="A30" s="218"/>
      <c r="B30" s="522" t="s">
        <v>500</v>
      </c>
      <c r="C30" s="398"/>
      <c r="D30" s="389">
        <v>5.35</v>
      </c>
      <c r="E30" s="389"/>
      <c r="F30" s="389">
        <v>3.19</v>
      </c>
      <c r="G30" s="390">
        <v>1</v>
      </c>
      <c r="H30" s="389">
        <f t="shared" si="0"/>
        <v>17.066499999999998</v>
      </c>
      <c r="I30" s="483"/>
      <c r="J30" s="399"/>
      <c r="K30" s="399" t="s">
        <v>3</v>
      </c>
      <c r="L30" s="389">
        <f t="shared" si="1"/>
        <v>17.066499999999998</v>
      </c>
    </row>
    <row r="31" spans="1:12" ht="13.8" x14ac:dyDescent="0.25">
      <c r="A31" s="218"/>
      <c r="B31" s="522" t="s">
        <v>502</v>
      </c>
      <c r="C31" s="398"/>
      <c r="D31" s="389">
        <v>2.21</v>
      </c>
      <c r="E31" s="389"/>
      <c r="F31" s="389">
        <v>3.19</v>
      </c>
      <c r="G31" s="390">
        <v>1</v>
      </c>
      <c r="H31" s="389">
        <f t="shared" si="0"/>
        <v>7.0499000000000001</v>
      </c>
      <c r="I31" s="483"/>
      <c r="J31" s="399"/>
      <c r="K31" s="399" t="s">
        <v>3</v>
      </c>
      <c r="L31" s="389">
        <f t="shared" si="1"/>
        <v>7.0499000000000001</v>
      </c>
    </row>
    <row r="32" spans="1:12" ht="13.8" x14ac:dyDescent="0.25">
      <c r="A32" s="218"/>
      <c r="B32" s="522" t="s">
        <v>503</v>
      </c>
      <c r="C32" s="398"/>
      <c r="D32" s="389">
        <v>2.4</v>
      </c>
      <c r="E32" s="389"/>
      <c r="F32" s="389">
        <v>3.19</v>
      </c>
      <c r="G32" s="390">
        <v>1</v>
      </c>
      <c r="H32" s="389">
        <f t="shared" si="0"/>
        <v>7.6559999999999997</v>
      </c>
      <c r="I32" s="483"/>
      <c r="J32" s="399"/>
      <c r="K32" s="399" t="s">
        <v>3</v>
      </c>
      <c r="L32" s="389">
        <f t="shared" si="1"/>
        <v>7.6559999999999997</v>
      </c>
    </row>
    <row r="33" spans="1:12" ht="13.8" x14ac:dyDescent="0.25">
      <c r="A33" s="218"/>
      <c r="B33" s="522" t="s">
        <v>504</v>
      </c>
      <c r="C33" s="398"/>
      <c r="D33" s="389">
        <v>5.71</v>
      </c>
      <c r="E33" s="389"/>
      <c r="F33" s="389">
        <v>3.19</v>
      </c>
      <c r="G33" s="390">
        <v>1</v>
      </c>
      <c r="H33" s="389">
        <f t="shared" si="0"/>
        <v>18.2149</v>
      </c>
      <c r="I33" s="483"/>
      <c r="J33" s="399"/>
      <c r="K33" s="399" t="s">
        <v>3</v>
      </c>
      <c r="L33" s="389">
        <f t="shared" si="1"/>
        <v>18.2149</v>
      </c>
    </row>
    <row r="34" spans="1:12" ht="13.8" x14ac:dyDescent="0.25">
      <c r="A34" s="218"/>
      <c r="B34" s="522" t="s">
        <v>505</v>
      </c>
      <c r="C34" s="398"/>
      <c r="D34" s="389">
        <v>3.15</v>
      </c>
      <c r="E34" s="389"/>
      <c r="F34" s="389">
        <v>3.19</v>
      </c>
      <c r="G34" s="390">
        <v>1</v>
      </c>
      <c r="H34" s="389">
        <f t="shared" si="0"/>
        <v>10.048499999999999</v>
      </c>
      <c r="I34" s="483"/>
      <c r="J34" s="399"/>
      <c r="K34" s="399" t="s">
        <v>3</v>
      </c>
      <c r="L34" s="389">
        <f t="shared" si="1"/>
        <v>10.048499999999999</v>
      </c>
    </row>
    <row r="35" spans="1:12" ht="13.8" x14ac:dyDescent="0.25">
      <c r="A35" s="218"/>
      <c r="B35" s="522" t="s">
        <v>506</v>
      </c>
      <c r="C35" s="398"/>
      <c r="D35" s="389">
        <v>3.13</v>
      </c>
      <c r="E35" s="389"/>
      <c r="F35" s="389">
        <v>3.19</v>
      </c>
      <c r="G35" s="390">
        <v>1</v>
      </c>
      <c r="H35" s="389">
        <f t="shared" si="0"/>
        <v>9.9847000000000001</v>
      </c>
      <c r="I35" s="483"/>
      <c r="J35" s="399"/>
      <c r="K35" s="399" t="s">
        <v>3</v>
      </c>
      <c r="L35" s="389">
        <f t="shared" si="1"/>
        <v>9.9847000000000001</v>
      </c>
    </row>
    <row r="36" spans="1:12" ht="13.8" x14ac:dyDescent="0.25">
      <c r="A36" s="218"/>
      <c r="B36" s="522" t="s">
        <v>507</v>
      </c>
      <c r="C36" s="398"/>
      <c r="D36" s="389">
        <v>6.88</v>
      </c>
      <c r="E36" s="389"/>
      <c r="F36" s="389">
        <v>3.19</v>
      </c>
      <c r="G36" s="390">
        <v>1</v>
      </c>
      <c r="H36" s="389">
        <f t="shared" si="0"/>
        <v>18.587199999999999</v>
      </c>
      <c r="I36" s="483">
        <v>3.36</v>
      </c>
      <c r="J36" s="399"/>
      <c r="K36" s="399" t="s">
        <v>3</v>
      </c>
      <c r="L36" s="389">
        <f t="shared" si="1"/>
        <v>18.587199999999999</v>
      </c>
    </row>
    <row r="37" spans="1:12" ht="13.8" x14ac:dyDescent="0.25">
      <c r="A37" s="218"/>
      <c r="B37" s="522" t="s">
        <v>513</v>
      </c>
      <c r="C37" s="398"/>
      <c r="D37" s="389">
        <v>1.35</v>
      </c>
      <c r="E37" s="389"/>
      <c r="F37" s="389">
        <v>3.19</v>
      </c>
      <c r="G37" s="390">
        <v>1</v>
      </c>
      <c r="H37" s="389">
        <f t="shared" si="0"/>
        <v>4.3064999999999998</v>
      </c>
      <c r="I37" s="483"/>
      <c r="J37" s="399"/>
      <c r="K37" s="399" t="s">
        <v>3</v>
      </c>
      <c r="L37" s="389">
        <f t="shared" si="1"/>
        <v>4.3064999999999998</v>
      </c>
    </row>
    <row r="38" spans="1:12" ht="13.8" x14ac:dyDescent="0.25">
      <c r="A38" s="218"/>
      <c r="B38" s="522" t="s">
        <v>514</v>
      </c>
      <c r="C38" s="398"/>
      <c r="D38" s="389">
        <v>5.23</v>
      </c>
      <c r="E38" s="389"/>
      <c r="F38" s="389">
        <v>3.19</v>
      </c>
      <c r="G38" s="390">
        <v>1</v>
      </c>
      <c r="H38" s="389">
        <f t="shared" si="0"/>
        <v>16.683700000000002</v>
      </c>
      <c r="I38" s="483"/>
      <c r="J38" s="399"/>
      <c r="K38" s="399" t="s">
        <v>3</v>
      </c>
      <c r="L38" s="389">
        <f t="shared" si="1"/>
        <v>16.683700000000002</v>
      </c>
    </row>
    <row r="39" spans="1:12" ht="13.8" x14ac:dyDescent="0.25">
      <c r="A39" s="218"/>
      <c r="B39" s="522" t="s">
        <v>516</v>
      </c>
      <c r="C39" s="398"/>
      <c r="D39" s="389">
        <v>2.65</v>
      </c>
      <c r="E39" s="389"/>
      <c r="F39" s="389">
        <v>3.19</v>
      </c>
      <c r="G39" s="390">
        <v>2</v>
      </c>
      <c r="H39" s="389">
        <f t="shared" si="0"/>
        <v>16.907</v>
      </c>
      <c r="I39" s="483"/>
      <c r="J39" s="399"/>
      <c r="K39" s="399" t="s">
        <v>3</v>
      </c>
      <c r="L39" s="389">
        <f t="shared" si="1"/>
        <v>16.907</v>
      </c>
    </row>
    <row r="40" spans="1:12" ht="13.8" x14ac:dyDescent="0.25">
      <c r="A40" s="218"/>
      <c r="B40" s="522" t="s">
        <v>518</v>
      </c>
      <c r="C40" s="398"/>
      <c r="D40" s="389">
        <v>5.32</v>
      </c>
      <c r="E40" s="389"/>
      <c r="F40" s="389">
        <v>3.19</v>
      </c>
      <c r="G40" s="390">
        <v>1</v>
      </c>
      <c r="H40" s="389">
        <f t="shared" si="0"/>
        <v>16.970800000000001</v>
      </c>
      <c r="I40" s="483"/>
      <c r="J40" s="399"/>
      <c r="K40" s="399" t="s">
        <v>3</v>
      </c>
      <c r="L40" s="389">
        <f t="shared" si="1"/>
        <v>16.970800000000001</v>
      </c>
    </row>
    <row r="41" spans="1:12" ht="13.8" x14ac:dyDescent="0.25">
      <c r="A41" s="218"/>
      <c r="B41" s="522" t="s">
        <v>519</v>
      </c>
      <c r="C41" s="398"/>
      <c r="D41" s="389">
        <v>4.88</v>
      </c>
      <c r="E41" s="389"/>
      <c r="F41" s="389">
        <v>3.19</v>
      </c>
      <c r="G41" s="390">
        <v>1</v>
      </c>
      <c r="H41" s="389">
        <f t="shared" si="0"/>
        <v>15.5672</v>
      </c>
      <c r="I41" s="483"/>
      <c r="J41" s="399"/>
      <c r="K41" s="399" t="s">
        <v>3</v>
      </c>
      <c r="L41" s="389">
        <f t="shared" si="1"/>
        <v>15.5672</v>
      </c>
    </row>
    <row r="42" spans="1:12" ht="13.8" x14ac:dyDescent="0.25">
      <c r="A42" s="218"/>
      <c r="B42" s="522" t="s">
        <v>520</v>
      </c>
      <c r="C42" s="398"/>
      <c r="D42" s="389">
        <v>11.06</v>
      </c>
      <c r="E42" s="389"/>
      <c r="F42" s="389">
        <v>3.19</v>
      </c>
      <c r="G42" s="390">
        <v>1</v>
      </c>
      <c r="H42" s="389">
        <f t="shared" si="0"/>
        <v>35.281399999999998</v>
      </c>
      <c r="I42" s="483"/>
      <c r="J42" s="399"/>
      <c r="K42" s="399" t="s">
        <v>3</v>
      </c>
      <c r="L42" s="389">
        <f t="shared" si="1"/>
        <v>35.281399999999998</v>
      </c>
    </row>
    <row r="43" spans="1:12" ht="13.8" x14ac:dyDescent="0.25">
      <c r="A43" s="218"/>
      <c r="B43" s="522" t="s">
        <v>524</v>
      </c>
      <c r="C43" s="398"/>
      <c r="D43" s="389">
        <v>2.15</v>
      </c>
      <c r="E43" s="389"/>
      <c r="F43" s="389">
        <v>3.19</v>
      </c>
      <c r="G43" s="390">
        <v>1</v>
      </c>
      <c r="H43" s="389">
        <f t="shared" si="0"/>
        <v>4.1284999999999989</v>
      </c>
      <c r="I43" s="483">
        <v>2.73</v>
      </c>
      <c r="J43" s="399"/>
      <c r="K43" s="399" t="s">
        <v>3</v>
      </c>
      <c r="L43" s="389">
        <f t="shared" si="1"/>
        <v>4.1284999999999989</v>
      </c>
    </row>
    <row r="44" spans="1:12" ht="13.8" x14ac:dyDescent="0.25">
      <c r="A44" s="218"/>
      <c r="B44" s="522" t="s">
        <v>525</v>
      </c>
      <c r="C44" s="398"/>
      <c r="D44" s="389">
        <v>2.2999999999999998</v>
      </c>
      <c r="E44" s="389"/>
      <c r="F44" s="389">
        <v>3.19</v>
      </c>
      <c r="G44" s="390">
        <v>1</v>
      </c>
      <c r="H44" s="389">
        <f t="shared" si="0"/>
        <v>7.3369999999999997</v>
      </c>
      <c r="I44" s="483"/>
      <c r="J44" s="399"/>
      <c r="K44" s="399" t="s">
        <v>3</v>
      </c>
      <c r="L44" s="389">
        <f t="shared" si="1"/>
        <v>7.3369999999999997</v>
      </c>
    </row>
    <row r="45" spans="1:12" ht="13.8" x14ac:dyDescent="0.25">
      <c r="A45" s="218"/>
      <c r="B45" s="522" t="s">
        <v>526</v>
      </c>
      <c r="C45" s="398"/>
      <c r="D45" s="389">
        <v>0.51</v>
      </c>
      <c r="E45" s="389"/>
      <c r="F45" s="389">
        <v>3.19</v>
      </c>
      <c r="G45" s="390">
        <v>1</v>
      </c>
      <c r="H45" s="389">
        <f t="shared" si="0"/>
        <v>1.6269</v>
      </c>
      <c r="I45" s="483"/>
      <c r="J45" s="399"/>
      <c r="K45" s="399" t="s">
        <v>3</v>
      </c>
      <c r="L45" s="389">
        <f t="shared" si="1"/>
        <v>1.6269</v>
      </c>
    </row>
    <row r="46" spans="1:12" ht="13.8" x14ac:dyDescent="0.25">
      <c r="A46" s="218"/>
      <c r="B46" s="522" t="s">
        <v>531</v>
      </c>
      <c r="C46" s="398"/>
      <c r="D46" s="389">
        <v>16.41</v>
      </c>
      <c r="E46" s="389"/>
      <c r="F46" s="389">
        <v>3.19</v>
      </c>
      <c r="G46" s="390">
        <v>1</v>
      </c>
      <c r="H46" s="389">
        <f t="shared" si="0"/>
        <v>42.487900000000003</v>
      </c>
      <c r="I46" s="483">
        <v>9.86</v>
      </c>
      <c r="J46" s="399"/>
      <c r="K46" s="399" t="s">
        <v>3</v>
      </c>
      <c r="L46" s="389">
        <f t="shared" si="1"/>
        <v>42.487900000000003</v>
      </c>
    </row>
    <row r="47" spans="1:12" ht="13.8" x14ac:dyDescent="0.25">
      <c r="A47" s="218"/>
      <c r="B47" s="522" t="s">
        <v>534</v>
      </c>
      <c r="C47" s="398"/>
      <c r="D47" s="389">
        <v>3</v>
      </c>
      <c r="E47" s="389"/>
      <c r="F47" s="389">
        <v>3.19</v>
      </c>
      <c r="G47" s="390">
        <v>1</v>
      </c>
      <c r="H47" s="389">
        <f t="shared" si="0"/>
        <v>9.57</v>
      </c>
      <c r="I47" s="483"/>
      <c r="J47" s="399"/>
      <c r="K47" s="399" t="s">
        <v>3</v>
      </c>
      <c r="L47" s="389">
        <f t="shared" si="1"/>
        <v>9.57</v>
      </c>
    </row>
    <row r="48" spans="1:12" ht="13.8" x14ac:dyDescent="0.25">
      <c r="A48" s="218"/>
      <c r="B48" s="522" t="s">
        <v>536</v>
      </c>
      <c r="C48" s="398"/>
      <c r="D48" s="389">
        <v>1.25</v>
      </c>
      <c r="E48" s="389"/>
      <c r="F48" s="389">
        <v>3.19</v>
      </c>
      <c r="G48" s="390">
        <v>1</v>
      </c>
      <c r="H48" s="389">
        <f t="shared" si="0"/>
        <v>3.9874999999999998</v>
      </c>
      <c r="I48" s="483"/>
      <c r="J48" s="399"/>
      <c r="K48" s="399" t="s">
        <v>3</v>
      </c>
      <c r="L48" s="389">
        <f t="shared" si="1"/>
        <v>3.9874999999999998</v>
      </c>
    </row>
    <row r="49" spans="1:12" ht="13.8" x14ac:dyDescent="0.25">
      <c r="A49" s="218"/>
      <c r="B49" s="522" t="s">
        <v>537</v>
      </c>
      <c r="C49" s="398"/>
      <c r="D49" s="389">
        <v>13.86</v>
      </c>
      <c r="E49" s="389"/>
      <c r="F49" s="389">
        <v>3.19</v>
      </c>
      <c r="G49" s="390">
        <v>1</v>
      </c>
      <c r="H49" s="389">
        <f t="shared" si="0"/>
        <v>44.2134</v>
      </c>
      <c r="I49" s="483"/>
      <c r="J49" s="399"/>
      <c r="K49" s="399" t="s">
        <v>3</v>
      </c>
      <c r="L49" s="389">
        <f t="shared" si="1"/>
        <v>44.2134</v>
      </c>
    </row>
    <row r="50" spans="1:12" ht="13.8" x14ac:dyDescent="0.25">
      <c r="A50" s="218"/>
      <c r="B50" s="522" t="s">
        <v>539</v>
      </c>
      <c r="C50" s="398"/>
      <c r="D50" s="389">
        <v>2.91</v>
      </c>
      <c r="E50" s="389"/>
      <c r="F50" s="389">
        <v>3.19</v>
      </c>
      <c r="G50" s="390">
        <v>4</v>
      </c>
      <c r="H50" s="389">
        <f t="shared" si="0"/>
        <v>37.131599999999999</v>
      </c>
      <c r="I50" s="483"/>
      <c r="J50" s="399"/>
      <c r="K50" s="399" t="s">
        <v>3</v>
      </c>
      <c r="L50" s="389">
        <f t="shared" si="1"/>
        <v>37.131599999999999</v>
      </c>
    </row>
    <row r="51" spans="1:12" ht="13.8" x14ac:dyDescent="0.25">
      <c r="A51" s="218"/>
      <c r="B51" s="522" t="s">
        <v>541</v>
      </c>
      <c r="C51" s="398"/>
      <c r="D51" s="389">
        <v>12.35</v>
      </c>
      <c r="E51" s="389"/>
      <c r="F51" s="389">
        <v>3.19</v>
      </c>
      <c r="G51" s="390">
        <v>1</v>
      </c>
      <c r="H51" s="389">
        <f t="shared" si="0"/>
        <v>39.396499999999996</v>
      </c>
      <c r="I51" s="483"/>
      <c r="J51" s="399"/>
      <c r="K51" s="399" t="s">
        <v>3</v>
      </c>
      <c r="L51" s="389">
        <f t="shared" si="1"/>
        <v>39.396499999999996</v>
      </c>
    </row>
    <row r="52" spans="1:12" ht="13.8" x14ac:dyDescent="0.25">
      <c r="A52" s="218"/>
      <c r="B52" s="522" t="s">
        <v>542</v>
      </c>
      <c r="C52" s="398"/>
      <c r="D52" s="389">
        <v>4.18</v>
      </c>
      <c r="E52" s="389"/>
      <c r="F52" s="389">
        <v>3.19</v>
      </c>
      <c r="G52" s="390">
        <v>2</v>
      </c>
      <c r="H52" s="389">
        <f t="shared" si="0"/>
        <v>26.668399999999998</v>
      </c>
      <c r="I52" s="483"/>
      <c r="J52" s="399"/>
      <c r="K52" s="399" t="s">
        <v>3</v>
      </c>
      <c r="L52" s="389">
        <f t="shared" si="1"/>
        <v>26.668399999999998</v>
      </c>
    </row>
    <row r="53" spans="1:12" ht="13.8" x14ac:dyDescent="0.25">
      <c r="A53" s="218"/>
      <c r="B53" s="522" t="s">
        <v>545</v>
      </c>
      <c r="C53" s="398"/>
      <c r="D53" s="389">
        <v>2</v>
      </c>
      <c r="E53" s="389"/>
      <c r="F53" s="389">
        <v>3.19</v>
      </c>
      <c r="G53" s="390">
        <v>2</v>
      </c>
      <c r="H53" s="389">
        <f t="shared" si="0"/>
        <v>9.4</v>
      </c>
      <c r="I53" s="483">
        <v>3.36</v>
      </c>
      <c r="J53" s="399"/>
      <c r="K53" s="399" t="s">
        <v>3</v>
      </c>
      <c r="L53" s="389">
        <f t="shared" si="1"/>
        <v>9.4</v>
      </c>
    </row>
    <row r="54" spans="1:12" ht="13.8" x14ac:dyDescent="0.25">
      <c r="A54" s="218"/>
      <c r="B54" s="522" t="s">
        <v>547</v>
      </c>
      <c r="C54" s="398"/>
      <c r="D54" s="389">
        <v>5.82</v>
      </c>
      <c r="E54" s="389"/>
      <c r="F54" s="389">
        <v>3.19</v>
      </c>
      <c r="G54" s="390">
        <v>1</v>
      </c>
      <c r="H54" s="389">
        <f t="shared" si="0"/>
        <v>18.565799999999999</v>
      </c>
      <c r="I54" s="483"/>
      <c r="J54" s="399"/>
      <c r="K54" s="399" t="s">
        <v>3</v>
      </c>
      <c r="L54" s="389">
        <f t="shared" si="1"/>
        <v>18.565799999999999</v>
      </c>
    </row>
    <row r="55" spans="1:12" ht="13.8" x14ac:dyDescent="0.25">
      <c r="A55" s="218"/>
      <c r="B55" s="522" t="s">
        <v>549</v>
      </c>
      <c r="C55" s="398"/>
      <c r="D55" s="389">
        <v>1.41</v>
      </c>
      <c r="E55" s="389"/>
      <c r="F55" s="389">
        <v>3.19</v>
      </c>
      <c r="G55" s="390">
        <v>1</v>
      </c>
      <c r="H55" s="389">
        <f t="shared" si="0"/>
        <v>4.4978999999999996</v>
      </c>
      <c r="I55" s="483"/>
      <c r="J55" s="399"/>
      <c r="K55" s="399" t="s">
        <v>3</v>
      </c>
      <c r="L55" s="389">
        <f t="shared" si="1"/>
        <v>4.4978999999999996</v>
      </c>
    </row>
    <row r="56" spans="1:12" ht="13.8" x14ac:dyDescent="0.25">
      <c r="A56" s="218"/>
      <c r="B56" s="522" t="s">
        <v>552</v>
      </c>
      <c r="C56" s="398"/>
      <c r="D56" s="389">
        <v>3.19</v>
      </c>
      <c r="E56" s="389"/>
      <c r="F56" s="389">
        <v>3.19</v>
      </c>
      <c r="G56" s="390">
        <v>1</v>
      </c>
      <c r="H56" s="389">
        <f t="shared" si="0"/>
        <v>10.1761</v>
      </c>
      <c r="I56" s="483"/>
      <c r="J56" s="399"/>
      <c r="K56" s="399" t="s">
        <v>3</v>
      </c>
      <c r="L56" s="389">
        <f t="shared" si="1"/>
        <v>10.1761</v>
      </c>
    </row>
    <row r="57" spans="1:12" ht="13.8" x14ac:dyDescent="0.25">
      <c r="A57" s="218"/>
      <c r="B57" s="522" t="s">
        <v>553</v>
      </c>
      <c r="C57" s="398"/>
      <c r="D57" s="389">
        <v>7.84</v>
      </c>
      <c r="E57" s="389"/>
      <c r="F57" s="389">
        <v>3.19</v>
      </c>
      <c r="G57" s="390">
        <v>1</v>
      </c>
      <c r="H57" s="389">
        <f t="shared" si="0"/>
        <v>25.009599999999999</v>
      </c>
      <c r="I57" s="483"/>
      <c r="J57" s="399"/>
      <c r="K57" s="399" t="s">
        <v>3</v>
      </c>
      <c r="L57" s="389">
        <f t="shared" si="1"/>
        <v>25.009599999999999</v>
      </c>
    </row>
    <row r="58" spans="1:12" ht="13.8" x14ac:dyDescent="0.25">
      <c r="A58" s="218"/>
      <c r="B58" s="522" t="s">
        <v>558</v>
      </c>
      <c r="C58" s="398"/>
      <c r="D58" s="389">
        <v>2.69</v>
      </c>
      <c r="E58" s="389"/>
      <c r="F58" s="389">
        <v>3.19</v>
      </c>
      <c r="G58" s="390">
        <v>2</v>
      </c>
      <c r="H58" s="389">
        <f t="shared" si="0"/>
        <v>17.162199999999999</v>
      </c>
      <c r="I58" s="483"/>
      <c r="J58" s="399"/>
      <c r="K58" s="399" t="s">
        <v>3</v>
      </c>
      <c r="L58" s="389">
        <f t="shared" si="1"/>
        <v>17.162199999999999</v>
      </c>
    </row>
    <row r="59" spans="1:12" ht="13.8" x14ac:dyDescent="0.25">
      <c r="A59" s="218"/>
      <c r="B59" s="522" t="s">
        <v>559</v>
      </c>
      <c r="C59" s="398"/>
      <c r="D59" s="389">
        <v>3.53</v>
      </c>
      <c r="E59" s="389"/>
      <c r="F59" s="389">
        <v>3.19</v>
      </c>
      <c r="G59" s="390">
        <v>1</v>
      </c>
      <c r="H59" s="389">
        <f t="shared" si="0"/>
        <v>8.7407000000000004</v>
      </c>
      <c r="I59" s="483">
        <v>2.52</v>
      </c>
      <c r="J59" s="399"/>
      <c r="K59" s="399" t="s">
        <v>3</v>
      </c>
      <c r="L59" s="389">
        <f t="shared" si="1"/>
        <v>8.7407000000000004</v>
      </c>
    </row>
    <row r="60" spans="1:12" ht="13.8" x14ac:dyDescent="0.25">
      <c r="A60" s="218"/>
      <c r="B60" s="522" t="s">
        <v>560</v>
      </c>
      <c r="C60" s="398"/>
      <c r="D60" s="389">
        <v>0.63</v>
      </c>
      <c r="E60" s="389"/>
      <c r="F60" s="389">
        <v>3.19</v>
      </c>
      <c r="G60" s="390">
        <v>1</v>
      </c>
      <c r="H60" s="389">
        <f t="shared" si="0"/>
        <v>2.0097</v>
      </c>
      <c r="I60" s="483"/>
      <c r="J60" s="399"/>
      <c r="K60" s="399" t="s">
        <v>3</v>
      </c>
      <c r="L60" s="389">
        <f t="shared" si="1"/>
        <v>2.0097</v>
      </c>
    </row>
    <row r="61" spans="1:12" ht="13.8" x14ac:dyDescent="0.25">
      <c r="A61" s="218"/>
      <c r="B61" s="522" t="s">
        <v>569</v>
      </c>
      <c r="C61" s="398"/>
      <c r="D61" s="389">
        <v>2.91</v>
      </c>
      <c r="E61" s="389"/>
      <c r="F61" s="389">
        <v>3.19</v>
      </c>
      <c r="G61" s="390">
        <v>1</v>
      </c>
      <c r="H61" s="389">
        <f t="shared" si="0"/>
        <v>9.2828999999999997</v>
      </c>
      <c r="I61" s="483"/>
      <c r="J61" s="399"/>
      <c r="K61" s="399" t="s">
        <v>3</v>
      </c>
      <c r="L61" s="389">
        <f t="shared" si="1"/>
        <v>9.2828999999999997</v>
      </c>
    </row>
    <row r="62" spans="1:12" ht="13.8" x14ac:dyDescent="0.25">
      <c r="A62" s="218"/>
      <c r="B62" s="522" t="s">
        <v>591</v>
      </c>
      <c r="C62" s="398"/>
      <c r="D62" s="389">
        <v>2.59</v>
      </c>
      <c r="E62" s="389"/>
      <c r="F62" s="389">
        <v>3.19</v>
      </c>
      <c r="G62" s="390">
        <v>1</v>
      </c>
      <c r="H62" s="389">
        <f t="shared" si="0"/>
        <v>8.2621000000000002</v>
      </c>
      <c r="I62" s="483"/>
      <c r="J62" s="399"/>
      <c r="K62" s="399" t="s">
        <v>3</v>
      </c>
      <c r="L62" s="389">
        <f t="shared" si="1"/>
        <v>8.2621000000000002</v>
      </c>
    </row>
    <row r="63" spans="1:12" ht="13.8" x14ac:dyDescent="0.25">
      <c r="A63" s="218"/>
      <c r="B63" s="522" t="s">
        <v>600</v>
      </c>
      <c r="C63" s="398"/>
      <c r="D63" s="389">
        <v>5.34</v>
      </c>
      <c r="E63" s="389"/>
      <c r="F63" s="389">
        <v>3.19</v>
      </c>
      <c r="G63" s="390">
        <v>1</v>
      </c>
      <c r="H63" s="389">
        <f t="shared" si="0"/>
        <v>17.034599999999998</v>
      </c>
      <c r="I63" s="483"/>
      <c r="J63" s="399"/>
      <c r="K63" s="399" t="s">
        <v>3</v>
      </c>
      <c r="L63" s="389">
        <f t="shared" si="1"/>
        <v>17.034599999999998</v>
      </c>
    </row>
    <row r="64" spans="1:12" ht="13.8" x14ac:dyDescent="0.25">
      <c r="A64" s="218"/>
      <c r="B64" s="522" t="s">
        <v>593</v>
      </c>
      <c r="C64" s="398"/>
      <c r="D64" s="389">
        <v>5.31</v>
      </c>
      <c r="E64" s="389"/>
      <c r="F64" s="389">
        <v>3.19</v>
      </c>
      <c r="G64" s="390">
        <v>1</v>
      </c>
      <c r="H64" s="389">
        <f t="shared" si="0"/>
        <v>16.938899999999997</v>
      </c>
      <c r="I64" s="483"/>
      <c r="J64" s="399"/>
      <c r="K64" s="399" t="s">
        <v>3</v>
      </c>
      <c r="L64" s="389">
        <f t="shared" si="1"/>
        <v>16.938899999999997</v>
      </c>
    </row>
    <row r="65" spans="1:13" ht="14.4" x14ac:dyDescent="0.3">
      <c r="A65" s="218"/>
      <c r="B65" s="217" t="s">
        <v>610</v>
      </c>
      <c r="C65" s="385"/>
      <c r="D65" s="386">
        <v>1.48</v>
      </c>
      <c r="E65" s="386"/>
      <c r="F65" s="386">
        <v>3.19</v>
      </c>
      <c r="G65" s="390">
        <v>1</v>
      </c>
      <c r="H65" s="389">
        <f t="shared" si="0"/>
        <v>0.87119999999999953</v>
      </c>
      <c r="I65" s="500">
        <v>3.85</v>
      </c>
      <c r="J65" s="387"/>
      <c r="K65" s="387" t="s">
        <v>3</v>
      </c>
      <c r="L65" s="389">
        <f t="shared" si="1"/>
        <v>0.87119999999999953</v>
      </c>
    </row>
    <row r="66" spans="1:13" ht="14.4" x14ac:dyDescent="0.3">
      <c r="A66" s="218"/>
      <c r="B66" s="527" t="s">
        <v>606</v>
      </c>
      <c r="C66" s="385"/>
      <c r="D66" s="386">
        <v>4.29</v>
      </c>
      <c r="E66" s="386"/>
      <c r="F66" s="386">
        <v>3.19</v>
      </c>
      <c r="G66" s="390">
        <v>1</v>
      </c>
      <c r="H66" s="389">
        <f t="shared" si="0"/>
        <v>13.6851</v>
      </c>
      <c r="I66" s="500"/>
      <c r="J66" s="387"/>
      <c r="K66" s="387" t="s">
        <v>3</v>
      </c>
      <c r="L66" s="389">
        <f t="shared" si="1"/>
        <v>13.6851</v>
      </c>
    </row>
    <row r="67" spans="1:13" ht="14.4" x14ac:dyDescent="0.25">
      <c r="B67" s="391" t="s">
        <v>563</v>
      </c>
      <c r="C67" s="205"/>
      <c r="D67" s="392">
        <f>SUM(D14:D66)</f>
        <v>219.39999999999998</v>
      </c>
      <c r="E67" s="392"/>
      <c r="F67" s="392"/>
      <c r="G67" s="392"/>
      <c r="H67" s="392"/>
      <c r="I67" s="392"/>
      <c r="J67" s="392"/>
      <c r="K67" s="533" t="s">
        <v>3</v>
      </c>
      <c r="L67" s="392">
        <f>SUM(L14:L66)</f>
        <v>717.52909999999986</v>
      </c>
      <c r="M67" s="1"/>
    </row>
    <row r="68" spans="1:13" ht="14.4" x14ac:dyDescent="0.25">
      <c r="B68" s="822" t="s">
        <v>1</v>
      </c>
      <c r="C68" s="55" t="s">
        <v>0</v>
      </c>
      <c r="D68" s="52" t="s">
        <v>12</v>
      </c>
      <c r="E68" s="52" t="s">
        <v>4</v>
      </c>
      <c r="F68" s="52" t="s">
        <v>2</v>
      </c>
      <c r="G68" s="52" t="s">
        <v>6</v>
      </c>
      <c r="H68" s="148" t="s">
        <v>5</v>
      </c>
      <c r="I68" s="56" t="s">
        <v>13</v>
      </c>
      <c r="J68" s="148" t="s">
        <v>14</v>
      </c>
      <c r="K68" s="822" t="s">
        <v>7</v>
      </c>
      <c r="L68" s="824" t="s">
        <v>8</v>
      </c>
    </row>
    <row r="69" spans="1:13" ht="14.4" x14ac:dyDescent="0.3">
      <c r="B69" s="823"/>
      <c r="C69" s="80" t="s">
        <v>9</v>
      </c>
      <c r="D69" s="81" t="s">
        <v>10</v>
      </c>
      <c r="E69" s="81" t="s">
        <v>10</v>
      </c>
      <c r="F69" s="81" t="s">
        <v>10</v>
      </c>
      <c r="G69" s="80" t="s">
        <v>9</v>
      </c>
      <c r="H69" s="82" t="s">
        <v>11</v>
      </c>
      <c r="I69" s="113" t="s">
        <v>11</v>
      </c>
      <c r="J69" s="82" t="s">
        <v>15</v>
      </c>
      <c r="K69" s="823"/>
      <c r="L69" s="825"/>
    </row>
    <row r="70" spans="1:13" ht="15" customHeight="1" x14ac:dyDescent="0.3">
      <c r="B70" s="20" t="s">
        <v>703</v>
      </c>
      <c r="C70" s="381"/>
      <c r="D70" s="382"/>
      <c r="E70" s="382"/>
      <c r="F70" s="382"/>
      <c r="G70" s="381"/>
      <c r="H70" s="383"/>
      <c r="I70" s="384"/>
      <c r="J70" s="383"/>
      <c r="K70" s="383"/>
      <c r="L70" s="7"/>
    </row>
    <row r="71" spans="1:13" ht="13.8" x14ac:dyDescent="0.3">
      <c r="A71" s="218"/>
      <c r="B71" s="522" t="s">
        <v>483</v>
      </c>
      <c r="C71" s="385"/>
      <c r="D71" s="386">
        <v>1.5</v>
      </c>
      <c r="E71" s="386"/>
      <c r="F71" s="386">
        <v>3.19</v>
      </c>
      <c r="G71" s="390">
        <v>2</v>
      </c>
      <c r="H71" s="389">
        <f t="shared" ref="H71:H115" si="2">D71*F71*G71-I71</f>
        <v>9.57</v>
      </c>
      <c r="I71" s="483"/>
      <c r="J71" s="387"/>
      <c r="K71" s="387" t="s">
        <v>3</v>
      </c>
      <c r="L71" s="389">
        <f t="shared" ref="L71:L115" si="3">H71</f>
        <v>9.57</v>
      </c>
    </row>
    <row r="72" spans="1:13" ht="13.8" x14ac:dyDescent="0.3">
      <c r="A72" s="218"/>
      <c r="B72" s="522" t="s">
        <v>484</v>
      </c>
      <c r="C72" s="385"/>
      <c r="D72" s="386">
        <v>2.14</v>
      </c>
      <c r="E72" s="386"/>
      <c r="F72" s="386">
        <v>3.19</v>
      </c>
      <c r="G72" s="390">
        <v>1</v>
      </c>
      <c r="H72" s="389">
        <f t="shared" si="2"/>
        <v>6.8266</v>
      </c>
      <c r="I72" s="483"/>
      <c r="J72" s="387"/>
      <c r="K72" s="387" t="s">
        <v>3</v>
      </c>
      <c r="L72" s="389">
        <f t="shared" si="3"/>
        <v>6.8266</v>
      </c>
    </row>
    <row r="73" spans="1:13" ht="13.8" x14ac:dyDescent="0.3">
      <c r="A73" s="218"/>
      <c r="B73" s="522" t="s">
        <v>485</v>
      </c>
      <c r="C73" s="385"/>
      <c r="D73" s="386">
        <v>3.15</v>
      </c>
      <c r="E73" s="386"/>
      <c r="F73" s="386">
        <v>3.19</v>
      </c>
      <c r="G73" s="390">
        <v>1</v>
      </c>
      <c r="H73" s="389">
        <f t="shared" si="2"/>
        <v>10.048499999999999</v>
      </c>
      <c r="I73" s="483"/>
      <c r="J73" s="387"/>
      <c r="K73" s="387" t="s">
        <v>3</v>
      </c>
      <c r="L73" s="389">
        <f t="shared" si="3"/>
        <v>10.048499999999999</v>
      </c>
    </row>
    <row r="74" spans="1:13" ht="13.8" x14ac:dyDescent="0.3">
      <c r="A74" s="218"/>
      <c r="B74" s="522" t="s">
        <v>486</v>
      </c>
      <c r="C74" s="385"/>
      <c r="D74" s="386">
        <v>4.99</v>
      </c>
      <c r="E74" s="386"/>
      <c r="F74" s="386">
        <v>3.19</v>
      </c>
      <c r="G74" s="390">
        <v>1</v>
      </c>
      <c r="H74" s="389">
        <f t="shared" si="2"/>
        <v>15.918100000000001</v>
      </c>
      <c r="I74" s="483"/>
      <c r="J74" s="387"/>
      <c r="K74" s="387" t="s">
        <v>3</v>
      </c>
      <c r="L74" s="389">
        <f t="shared" si="3"/>
        <v>15.918100000000001</v>
      </c>
    </row>
    <row r="75" spans="1:13" ht="13.8" x14ac:dyDescent="0.3">
      <c r="A75" s="218"/>
      <c r="B75" s="522" t="s">
        <v>488</v>
      </c>
      <c r="C75" s="385"/>
      <c r="D75" s="386">
        <v>1.8</v>
      </c>
      <c r="E75" s="386"/>
      <c r="F75" s="386">
        <v>3.19</v>
      </c>
      <c r="G75" s="390">
        <v>1</v>
      </c>
      <c r="H75" s="389">
        <f t="shared" si="2"/>
        <v>5.742</v>
      </c>
      <c r="I75" s="483"/>
      <c r="J75" s="387"/>
      <c r="K75" s="387" t="s">
        <v>3</v>
      </c>
      <c r="L75" s="389">
        <f t="shared" si="3"/>
        <v>5.742</v>
      </c>
    </row>
    <row r="76" spans="1:13" ht="13.8" x14ac:dyDescent="0.3">
      <c r="A76" s="218"/>
      <c r="B76" s="522" t="s">
        <v>489</v>
      </c>
      <c r="C76" s="385"/>
      <c r="D76" s="386">
        <v>3.13</v>
      </c>
      <c r="E76" s="386"/>
      <c r="F76" s="386">
        <v>3.19</v>
      </c>
      <c r="G76" s="390">
        <v>2</v>
      </c>
      <c r="H76" s="389">
        <f t="shared" si="2"/>
        <v>19.9694</v>
      </c>
      <c r="I76" s="483"/>
      <c r="J76" s="387"/>
      <c r="K76" s="387" t="s">
        <v>3</v>
      </c>
      <c r="L76" s="389">
        <f t="shared" si="3"/>
        <v>19.9694</v>
      </c>
    </row>
    <row r="77" spans="1:13" ht="13.8" x14ac:dyDescent="0.3">
      <c r="A77" s="218"/>
      <c r="B77" s="522" t="s">
        <v>490</v>
      </c>
      <c r="C77" s="385"/>
      <c r="D77" s="386">
        <v>4.32</v>
      </c>
      <c r="E77" s="386"/>
      <c r="F77" s="386">
        <v>3.19</v>
      </c>
      <c r="G77" s="390">
        <v>1</v>
      </c>
      <c r="H77" s="389">
        <f t="shared" si="2"/>
        <v>13.780800000000001</v>
      </c>
      <c r="I77" s="483"/>
      <c r="J77" s="387"/>
      <c r="K77" s="387" t="s">
        <v>3</v>
      </c>
      <c r="L77" s="389">
        <f t="shared" si="3"/>
        <v>13.780800000000001</v>
      </c>
    </row>
    <row r="78" spans="1:13" ht="13.8" x14ac:dyDescent="0.3">
      <c r="A78" s="218"/>
      <c r="B78" s="522" t="s">
        <v>493</v>
      </c>
      <c r="C78" s="385"/>
      <c r="D78" s="386">
        <v>2.85</v>
      </c>
      <c r="E78" s="386"/>
      <c r="F78" s="386">
        <v>3.19</v>
      </c>
      <c r="G78" s="390">
        <v>1</v>
      </c>
      <c r="H78" s="389">
        <f t="shared" si="2"/>
        <v>9.0914999999999999</v>
      </c>
      <c r="I78" s="483"/>
      <c r="J78" s="387"/>
      <c r="K78" s="387" t="s">
        <v>3</v>
      </c>
      <c r="L78" s="389">
        <f t="shared" si="3"/>
        <v>9.0914999999999999</v>
      </c>
    </row>
    <row r="79" spans="1:13" ht="13.8" x14ac:dyDescent="0.3">
      <c r="A79" s="218"/>
      <c r="B79" s="522" t="s">
        <v>495</v>
      </c>
      <c r="C79" s="385"/>
      <c r="D79" s="386">
        <v>2.33</v>
      </c>
      <c r="E79" s="386"/>
      <c r="F79" s="386">
        <v>3.19</v>
      </c>
      <c r="G79" s="390">
        <v>1</v>
      </c>
      <c r="H79" s="389">
        <f t="shared" si="2"/>
        <v>7.4327000000000005</v>
      </c>
      <c r="I79" s="483"/>
      <c r="J79" s="387"/>
      <c r="K79" s="387" t="s">
        <v>3</v>
      </c>
      <c r="L79" s="389">
        <f t="shared" si="3"/>
        <v>7.4327000000000005</v>
      </c>
    </row>
    <row r="80" spans="1:13" ht="13.8" x14ac:dyDescent="0.3">
      <c r="A80" s="218"/>
      <c r="B80" s="522" t="s">
        <v>499</v>
      </c>
      <c r="C80" s="385"/>
      <c r="D80" s="386">
        <v>2.5499999999999998</v>
      </c>
      <c r="E80" s="386"/>
      <c r="F80" s="386">
        <v>3.19</v>
      </c>
      <c r="G80" s="390">
        <v>1</v>
      </c>
      <c r="H80" s="389">
        <f t="shared" si="2"/>
        <v>8.1344999999999992</v>
      </c>
      <c r="I80" s="483"/>
      <c r="J80" s="387"/>
      <c r="K80" s="387" t="s">
        <v>3</v>
      </c>
      <c r="L80" s="389">
        <f t="shared" si="3"/>
        <v>8.1344999999999992</v>
      </c>
    </row>
    <row r="81" spans="1:12" ht="13.8" x14ac:dyDescent="0.3">
      <c r="A81" s="218"/>
      <c r="B81" s="522" t="s">
        <v>501</v>
      </c>
      <c r="C81" s="385"/>
      <c r="D81" s="386">
        <v>3.27</v>
      </c>
      <c r="E81" s="386"/>
      <c r="F81" s="386">
        <v>3.19</v>
      </c>
      <c r="G81" s="390">
        <v>1</v>
      </c>
      <c r="H81" s="389">
        <f t="shared" si="2"/>
        <v>10.4313</v>
      </c>
      <c r="I81" s="483"/>
      <c r="J81" s="387"/>
      <c r="K81" s="387" t="s">
        <v>3</v>
      </c>
      <c r="L81" s="389">
        <f t="shared" si="3"/>
        <v>10.4313</v>
      </c>
    </row>
    <row r="82" spans="1:12" ht="13.8" x14ac:dyDescent="0.3">
      <c r="A82" s="218"/>
      <c r="B82" s="522" t="s">
        <v>508</v>
      </c>
      <c r="C82" s="385"/>
      <c r="D82" s="386">
        <v>3.2</v>
      </c>
      <c r="E82" s="386"/>
      <c r="F82" s="386">
        <v>3.19</v>
      </c>
      <c r="G82" s="390">
        <v>1</v>
      </c>
      <c r="H82" s="389">
        <f t="shared" si="2"/>
        <v>10.208</v>
      </c>
      <c r="I82" s="483"/>
      <c r="J82" s="387"/>
      <c r="K82" s="387" t="s">
        <v>3</v>
      </c>
      <c r="L82" s="389">
        <f t="shared" si="3"/>
        <v>10.208</v>
      </c>
    </row>
    <row r="83" spans="1:12" ht="13.8" x14ac:dyDescent="0.3">
      <c r="A83" s="218"/>
      <c r="B83" s="522" t="s">
        <v>509</v>
      </c>
      <c r="C83" s="385"/>
      <c r="D83" s="386">
        <v>2.5499999999999998</v>
      </c>
      <c r="E83" s="386"/>
      <c r="F83" s="386">
        <v>3.19</v>
      </c>
      <c r="G83" s="390">
        <v>2</v>
      </c>
      <c r="H83" s="389">
        <f t="shared" si="2"/>
        <v>16.268999999999998</v>
      </c>
      <c r="I83" s="483"/>
      <c r="J83" s="387"/>
      <c r="K83" s="387" t="s">
        <v>3</v>
      </c>
      <c r="L83" s="389">
        <f t="shared" si="3"/>
        <v>16.268999999999998</v>
      </c>
    </row>
    <row r="84" spans="1:12" ht="13.8" x14ac:dyDescent="0.3">
      <c r="A84" s="218"/>
      <c r="B84" s="522" t="s">
        <v>510</v>
      </c>
      <c r="C84" s="385"/>
      <c r="D84" s="386">
        <v>5.71</v>
      </c>
      <c r="E84" s="386"/>
      <c r="F84" s="386">
        <v>3.19</v>
      </c>
      <c r="G84" s="390">
        <v>1</v>
      </c>
      <c r="H84" s="389">
        <f t="shared" si="2"/>
        <v>18.2149</v>
      </c>
      <c r="I84" s="483"/>
      <c r="J84" s="387"/>
      <c r="K84" s="387" t="s">
        <v>3</v>
      </c>
      <c r="L84" s="389">
        <f t="shared" si="3"/>
        <v>18.2149</v>
      </c>
    </row>
    <row r="85" spans="1:12" ht="13.8" x14ac:dyDescent="0.3">
      <c r="A85" s="218"/>
      <c r="B85" s="522" t="s">
        <v>511</v>
      </c>
      <c r="C85" s="385"/>
      <c r="D85" s="386">
        <v>3.2</v>
      </c>
      <c r="E85" s="386"/>
      <c r="F85" s="386">
        <v>3.19</v>
      </c>
      <c r="G85" s="390">
        <v>1</v>
      </c>
      <c r="H85" s="389">
        <f t="shared" si="2"/>
        <v>10.208</v>
      </c>
      <c r="I85" s="483"/>
      <c r="J85" s="387"/>
      <c r="K85" s="387" t="s">
        <v>3</v>
      </c>
      <c r="L85" s="389">
        <f t="shared" si="3"/>
        <v>10.208</v>
      </c>
    </row>
    <row r="86" spans="1:12" ht="13.8" x14ac:dyDescent="0.3">
      <c r="A86" s="218"/>
      <c r="B86" s="522" t="s">
        <v>512</v>
      </c>
      <c r="C86" s="385"/>
      <c r="D86" s="386">
        <v>3.57</v>
      </c>
      <c r="E86" s="386"/>
      <c r="F86" s="386">
        <v>3.19</v>
      </c>
      <c r="G86" s="390">
        <v>1</v>
      </c>
      <c r="H86" s="389">
        <f t="shared" si="2"/>
        <v>11.388299999999999</v>
      </c>
      <c r="I86" s="483"/>
      <c r="J86" s="387"/>
      <c r="K86" s="387" t="s">
        <v>3</v>
      </c>
      <c r="L86" s="389">
        <f t="shared" si="3"/>
        <v>11.388299999999999</v>
      </c>
    </row>
    <row r="87" spans="1:12" ht="13.8" x14ac:dyDescent="0.3">
      <c r="A87" s="218"/>
      <c r="B87" s="522" t="s">
        <v>515</v>
      </c>
      <c r="C87" s="385"/>
      <c r="D87" s="386">
        <v>2.0299999999999998</v>
      </c>
      <c r="E87" s="386"/>
      <c r="F87" s="386">
        <v>3.19</v>
      </c>
      <c r="G87" s="390">
        <v>1</v>
      </c>
      <c r="H87" s="389">
        <f t="shared" si="2"/>
        <v>6.4756999999999989</v>
      </c>
      <c r="I87" s="483"/>
      <c r="J87" s="387"/>
      <c r="K87" s="387" t="s">
        <v>3</v>
      </c>
      <c r="L87" s="389">
        <f t="shared" si="3"/>
        <v>6.4756999999999989</v>
      </c>
    </row>
    <row r="88" spans="1:12" ht="13.8" x14ac:dyDescent="0.3">
      <c r="A88" s="218"/>
      <c r="B88" s="522" t="s">
        <v>517</v>
      </c>
      <c r="C88" s="385"/>
      <c r="D88" s="386">
        <v>3.57</v>
      </c>
      <c r="E88" s="386"/>
      <c r="F88" s="386">
        <v>3.19</v>
      </c>
      <c r="G88" s="390">
        <v>1</v>
      </c>
      <c r="H88" s="389">
        <f t="shared" si="2"/>
        <v>11.388299999999999</v>
      </c>
      <c r="I88" s="483"/>
      <c r="J88" s="387"/>
      <c r="K88" s="387" t="s">
        <v>3</v>
      </c>
      <c r="L88" s="389">
        <f t="shared" si="3"/>
        <v>11.388299999999999</v>
      </c>
    </row>
    <row r="89" spans="1:12" ht="13.8" x14ac:dyDescent="0.3">
      <c r="A89" s="218"/>
      <c r="B89" s="522" t="s">
        <v>521</v>
      </c>
      <c r="C89" s="385"/>
      <c r="D89" s="386">
        <v>4.24</v>
      </c>
      <c r="E89" s="386"/>
      <c r="F89" s="386">
        <v>3.19</v>
      </c>
      <c r="G89" s="390">
        <v>1</v>
      </c>
      <c r="H89" s="389">
        <f t="shared" si="2"/>
        <v>13.525600000000001</v>
      </c>
      <c r="I89" s="483"/>
      <c r="J89" s="387"/>
      <c r="K89" s="387" t="s">
        <v>3</v>
      </c>
      <c r="L89" s="389">
        <f t="shared" si="3"/>
        <v>13.525600000000001</v>
      </c>
    </row>
    <row r="90" spans="1:12" ht="13.8" x14ac:dyDescent="0.3">
      <c r="A90" s="218"/>
      <c r="B90" s="522" t="s">
        <v>522</v>
      </c>
      <c r="C90" s="385"/>
      <c r="D90" s="386">
        <v>3.23</v>
      </c>
      <c r="E90" s="386"/>
      <c r="F90" s="386">
        <v>3.19</v>
      </c>
      <c r="G90" s="390">
        <v>1</v>
      </c>
      <c r="H90" s="389">
        <f t="shared" si="2"/>
        <v>10.303699999999999</v>
      </c>
      <c r="I90" s="483"/>
      <c r="J90" s="387"/>
      <c r="K90" s="387" t="s">
        <v>3</v>
      </c>
      <c r="L90" s="389">
        <f t="shared" si="3"/>
        <v>10.303699999999999</v>
      </c>
    </row>
    <row r="91" spans="1:12" ht="13.8" x14ac:dyDescent="0.3">
      <c r="A91" s="218"/>
      <c r="B91" s="522" t="s">
        <v>523</v>
      </c>
      <c r="C91" s="385"/>
      <c r="D91" s="386">
        <v>3.38</v>
      </c>
      <c r="E91" s="386"/>
      <c r="F91" s="386">
        <v>3.19</v>
      </c>
      <c r="G91" s="390">
        <v>1</v>
      </c>
      <c r="H91" s="389">
        <f t="shared" si="2"/>
        <v>6.1821999999999999</v>
      </c>
      <c r="I91" s="483">
        <v>4.5999999999999996</v>
      </c>
      <c r="J91" s="387"/>
      <c r="K91" s="387" t="s">
        <v>3</v>
      </c>
      <c r="L91" s="389">
        <f t="shared" si="3"/>
        <v>6.1821999999999999</v>
      </c>
    </row>
    <row r="92" spans="1:12" ht="13.8" x14ac:dyDescent="0.3">
      <c r="A92" s="218"/>
      <c r="B92" s="522" t="s">
        <v>532</v>
      </c>
      <c r="C92" s="385"/>
      <c r="D92" s="386">
        <v>1.35</v>
      </c>
      <c r="E92" s="386"/>
      <c r="F92" s="386">
        <v>3.19</v>
      </c>
      <c r="G92" s="390">
        <v>1</v>
      </c>
      <c r="H92" s="389">
        <f t="shared" si="2"/>
        <v>4.3064999999999998</v>
      </c>
      <c r="I92" s="483"/>
      <c r="J92" s="387"/>
      <c r="K92" s="387" t="s">
        <v>3</v>
      </c>
      <c r="L92" s="389">
        <f t="shared" si="3"/>
        <v>4.3064999999999998</v>
      </c>
    </row>
    <row r="93" spans="1:12" ht="13.8" x14ac:dyDescent="0.3">
      <c r="A93" s="218"/>
      <c r="B93" s="522" t="s">
        <v>535</v>
      </c>
      <c r="C93" s="385"/>
      <c r="D93" s="386">
        <v>1.9</v>
      </c>
      <c r="E93" s="386"/>
      <c r="F93" s="386">
        <v>3.19</v>
      </c>
      <c r="G93" s="390">
        <v>2</v>
      </c>
      <c r="H93" s="389">
        <f t="shared" si="2"/>
        <v>12.122</v>
      </c>
      <c r="I93" s="483"/>
      <c r="J93" s="387"/>
      <c r="K93" s="387" t="s">
        <v>3</v>
      </c>
      <c r="L93" s="389">
        <f t="shared" si="3"/>
        <v>12.122</v>
      </c>
    </row>
    <row r="94" spans="1:12" ht="13.8" x14ac:dyDescent="0.3">
      <c r="A94" s="218"/>
      <c r="B94" s="522" t="s">
        <v>538</v>
      </c>
      <c r="C94" s="385"/>
      <c r="D94" s="386">
        <v>1.39</v>
      </c>
      <c r="E94" s="386"/>
      <c r="F94" s="386">
        <v>3.19</v>
      </c>
      <c r="G94" s="390">
        <v>1</v>
      </c>
      <c r="H94" s="389">
        <f t="shared" si="2"/>
        <v>4.4340999999999999</v>
      </c>
      <c r="I94" s="483"/>
      <c r="J94" s="387"/>
      <c r="K94" s="387" t="s">
        <v>3</v>
      </c>
      <c r="L94" s="389">
        <f t="shared" si="3"/>
        <v>4.4340999999999999</v>
      </c>
    </row>
    <row r="95" spans="1:12" ht="13.8" x14ac:dyDescent="0.3">
      <c r="A95" s="218"/>
      <c r="B95" s="522" t="s">
        <v>540</v>
      </c>
      <c r="C95" s="385"/>
      <c r="D95" s="386">
        <v>1.5</v>
      </c>
      <c r="E95" s="386"/>
      <c r="F95" s="386">
        <v>3.19</v>
      </c>
      <c r="G95" s="390">
        <v>1</v>
      </c>
      <c r="H95" s="389">
        <f t="shared" si="2"/>
        <v>4.7850000000000001</v>
      </c>
      <c r="I95" s="483"/>
      <c r="J95" s="387"/>
      <c r="K95" s="387" t="s">
        <v>3</v>
      </c>
      <c r="L95" s="389">
        <f t="shared" si="3"/>
        <v>4.7850000000000001</v>
      </c>
    </row>
    <row r="96" spans="1:12" ht="13.8" x14ac:dyDescent="0.3">
      <c r="A96" s="218"/>
      <c r="B96" s="522" t="s">
        <v>543</v>
      </c>
      <c r="C96" s="385"/>
      <c r="D96" s="386">
        <v>2.2599999999999998</v>
      </c>
      <c r="E96" s="386"/>
      <c r="F96" s="386">
        <v>3.19</v>
      </c>
      <c r="G96" s="390">
        <v>1</v>
      </c>
      <c r="H96" s="389">
        <f t="shared" si="2"/>
        <v>7.2093999999999996</v>
      </c>
      <c r="I96" s="483"/>
      <c r="J96" s="387"/>
      <c r="K96" s="387" t="s">
        <v>3</v>
      </c>
      <c r="L96" s="389">
        <f t="shared" si="3"/>
        <v>7.2093999999999996</v>
      </c>
    </row>
    <row r="97" spans="1:12" ht="13.8" x14ac:dyDescent="0.3">
      <c r="A97" s="218"/>
      <c r="B97" s="522" t="s">
        <v>544</v>
      </c>
      <c r="C97" s="385"/>
      <c r="D97" s="386">
        <v>3.32</v>
      </c>
      <c r="E97" s="386"/>
      <c r="F97" s="386">
        <v>3.19</v>
      </c>
      <c r="G97" s="390">
        <v>1</v>
      </c>
      <c r="H97" s="389">
        <f t="shared" si="2"/>
        <v>8.2807999999999993</v>
      </c>
      <c r="I97" s="483">
        <v>2.31</v>
      </c>
      <c r="J97" s="387"/>
      <c r="K97" s="387" t="s">
        <v>3</v>
      </c>
      <c r="L97" s="389">
        <f t="shared" si="3"/>
        <v>8.2807999999999993</v>
      </c>
    </row>
    <row r="98" spans="1:12" ht="13.8" x14ac:dyDescent="0.3">
      <c r="A98" s="218"/>
      <c r="B98" s="522" t="s">
        <v>546</v>
      </c>
      <c r="C98" s="385"/>
      <c r="D98" s="386">
        <v>1.4</v>
      </c>
      <c r="E98" s="386"/>
      <c r="F98" s="386">
        <v>3.19</v>
      </c>
      <c r="G98" s="390">
        <v>1</v>
      </c>
      <c r="H98" s="389">
        <f t="shared" si="2"/>
        <v>4.4659999999999993</v>
      </c>
      <c r="I98" s="483"/>
      <c r="J98" s="387"/>
      <c r="K98" s="387" t="s">
        <v>3</v>
      </c>
      <c r="L98" s="389">
        <f t="shared" si="3"/>
        <v>4.4659999999999993</v>
      </c>
    </row>
    <row r="99" spans="1:12" ht="13.8" x14ac:dyDescent="0.3">
      <c r="A99" s="218"/>
      <c r="B99" s="522" t="s">
        <v>548</v>
      </c>
      <c r="C99" s="385"/>
      <c r="D99" s="386">
        <v>1.95</v>
      </c>
      <c r="E99" s="386"/>
      <c r="F99" s="386">
        <v>3.19</v>
      </c>
      <c r="G99" s="390">
        <v>1</v>
      </c>
      <c r="H99" s="389">
        <f t="shared" si="2"/>
        <v>6.2204999999999995</v>
      </c>
      <c r="I99" s="483"/>
      <c r="J99" s="387"/>
      <c r="K99" s="387" t="s">
        <v>3</v>
      </c>
      <c r="L99" s="389">
        <f t="shared" si="3"/>
        <v>6.2204999999999995</v>
      </c>
    </row>
    <row r="100" spans="1:12" ht="13.8" x14ac:dyDescent="0.3">
      <c r="A100" s="218"/>
      <c r="B100" s="522" t="s">
        <v>550</v>
      </c>
      <c r="C100" s="385"/>
      <c r="D100" s="386">
        <v>2.5299999999999998</v>
      </c>
      <c r="E100" s="386"/>
      <c r="F100" s="386">
        <v>3.19</v>
      </c>
      <c r="G100" s="390">
        <v>2</v>
      </c>
      <c r="H100" s="389">
        <f t="shared" si="2"/>
        <v>16.141399999999997</v>
      </c>
      <c r="I100" s="483"/>
      <c r="J100" s="387"/>
      <c r="K100" s="387" t="s">
        <v>3</v>
      </c>
      <c r="L100" s="389">
        <f t="shared" si="3"/>
        <v>16.141399999999997</v>
      </c>
    </row>
    <row r="101" spans="1:12" ht="13.8" x14ac:dyDescent="0.3">
      <c r="A101" s="218"/>
      <c r="B101" s="522" t="s">
        <v>551</v>
      </c>
      <c r="C101" s="385"/>
      <c r="D101" s="386">
        <v>1.8</v>
      </c>
      <c r="E101" s="386"/>
      <c r="F101" s="386">
        <v>3.19</v>
      </c>
      <c r="G101" s="390">
        <v>1</v>
      </c>
      <c r="H101" s="389">
        <f t="shared" si="2"/>
        <v>5.742</v>
      </c>
      <c r="I101" s="483"/>
      <c r="J101" s="387"/>
      <c r="K101" s="387" t="s">
        <v>3</v>
      </c>
      <c r="L101" s="389">
        <f t="shared" si="3"/>
        <v>5.742</v>
      </c>
    </row>
    <row r="102" spans="1:12" ht="13.8" x14ac:dyDescent="0.3">
      <c r="A102" s="218"/>
      <c r="B102" s="522" t="s">
        <v>556</v>
      </c>
      <c r="C102" s="385"/>
      <c r="D102" s="386">
        <v>1.4</v>
      </c>
      <c r="E102" s="386"/>
      <c r="F102" s="386">
        <v>3.19</v>
      </c>
      <c r="G102" s="390">
        <v>2</v>
      </c>
      <c r="H102" s="389">
        <f t="shared" si="2"/>
        <v>8.9319999999999986</v>
      </c>
      <c r="I102" s="483"/>
      <c r="J102" s="387"/>
      <c r="K102" s="387" t="s">
        <v>3</v>
      </c>
      <c r="L102" s="389">
        <f t="shared" si="3"/>
        <v>8.9319999999999986</v>
      </c>
    </row>
    <row r="103" spans="1:12" ht="13.8" x14ac:dyDescent="0.3">
      <c r="A103" s="218"/>
      <c r="B103" s="522" t="s">
        <v>557</v>
      </c>
      <c r="C103" s="385"/>
      <c r="D103" s="386">
        <v>2.69</v>
      </c>
      <c r="E103" s="386"/>
      <c r="F103" s="386">
        <v>3.19</v>
      </c>
      <c r="G103" s="390">
        <v>2</v>
      </c>
      <c r="H103" s="389">
        <f t="shared" si="2"/>
        <v>17.162199999999999</v>
      </c>
      <c r="I103" s="483"/>
      <c r="J103" s="387"/>
      <c r="K103" s="387" t="s">
        <v>3</v>
      </c>
      <c r="L103" s="389">
        <f t="shared" si="3"/>
        <v>17.162199999999999</v>
      </c>
    </row>
    <row r="104" spans="1:12" ht="13.8" x14ac:dyDescent="0.3">
      <c r="A104" s="218"/>
      <c r="B104" s="522" t="s">
        <v>561</v>
      </c>
      <c r="C104" s="385"/>
      <c r="D104" s="386">
        <v>6.07</v>
      </c>
      <c r="E104" s="386"/>
      <c r="F104" s="386">
        <v>3.19</v>
      </c>
      <c r="G104" s="390">
        <v>1</v>
      </c>
      <c r="H104" s="389">
        <f t="shared" si="2"/>
        <v>19.363299999999999</v>
      </c>
      <c r="I104" s="483"/>
      <c r="J104" s="387"/>
      <c r="K104" s="387" t="s">
        <v>3</v>
      </c>
      <c r="L104" s="389">
        <f t="shared" si="3"/>
        <v>19.363299999999999</v>
      </c>
    </row>
    <row r="105" spans="1:12" ht="13.8" x14ac:dyDescent="0.3">
      <c r="A105" s="218"/>
      <c r="B105" s="522" t="s">
        <v>562</v>
      </c>
      <c r="C105" s="385"/>
      <c r="D105" s="386">
        <v>3.18</v>
      </c>
      <c r="E105" s="386"/>
      <c r="F105" s="386">
        <v>3.19</v>
      </c>
      <c r="G105" s="390">
        <v>1</v>
      </c>
      <c r="H105" s="389">
        <f t="shared" si="2"/>
        <v>7.8341999999999992</v>
      </c>
      <c r="I105" s="483">
        <v>2.31</v>
      </c>
      <c r="J105" s="387"/>
      <c r="K105" s="387" t="s">
        <v>3</v>
      </c>
      <c r="L105" s="389">
        <f t="shared" si="3"/>
        <v>7.8341999999999992</v>
      </c>
    </row>
    <row r="106" spans="1:12" ht="13.8" x14ac:dyDescent="0.3">
      <c r="A106" s="218"/>
      <c r="B106" s="522" t="s">
        <v>595</v>
      </c>
      <c r="C106" s="385"/>
      <c r="D106" s="386">
        <v>2.64</v>
      </c>
      <c r="E106" s="386"/>
      <c r="F106" s="386">
        <v>3.19</v>
      </c>
      <c r="G106" s="390">
        <v>1</v>
      </c>
      <c r="H106" s="389">
        <f t="shared" si="2"/>
        <v>8.4215999999999998</v>
      </c>
      <c r="I106" s="483"/>
      <c r="J106" s="387"/>
      <c r="K106" s="387" t="s">
        <v>3</v>
      </c>
      <c r="L106" s="389">
        <f t="shared" si="3"/>
        <v>8.4215999999999998</v>
      </c>
    </row>
    <row r="107" spans="1:12" ht="13.8" x14ac:dyDescent="0.3">
      <c r="A107" s="218"/>
      <c r="B107" s="522" t="s">
        <v>596</v>
      </c>
      <c r="C107" s="385"/>
      <c r="D107" s="386">
        <v>3.95</v>
      </c>
      <c r="E107" s="386"/>
      <c r="F107" s="386">
        <v>3.19</v>
      </c>
      <c r="G107" s="390">
        <v>1</v>
      </c>
      <c r="H107" s="389">
        <f t="shared" si="2"/>
        <v>12.6005</v>
      </c>
      <c r="I107" s="483"/>
      <c r="J107" s="387"/>
      <c r="K107" s="387" t="s">
        <v>3</v>
      </c>
      <c r="L107" s="389">
        <f t="shared" si="3"/>
        <v>12.6005</v>
      </c>
    </row>
    <row r="108" spans="1:12" ht="13.8" x14ac:dyDescent="0.3">
      <c r="A108" s="218"/>
      <c r="B108" s="522" t="s">
        <v>597</v>
      </c>
      <c r="C108" s="385"/>
      <c r="D108" s="386">
        <v>2.5499999999999998</v>
      </c>
      <c r="E108" s="386"/>
      <c r="F108" s="386">
        <v>3.19</v>
      </c>
      <c r="G108" s="390">
        <v>2</v>
      </c>
      <c r="H108" s="389">
        <f t="shared" si="2"/>
        <v>16.268999999999998</v>
      </c>
      <c r="I108" s="483"/>
      <c r="J108" s="387"/>
      <c r="K108" s="387" t="s">
        <v>3</v>
      </c>
      <c r="L108" s="389">
        <f t="shared" si="3"/>
        <v>16.268999999999998</v>
      </c>
    </row>
    <row r="109" spans="1:12" ht="13.8" x14ac:dyDescent="0.3">
      <c r="A109" s="218"/>
      <c r="B109" s="522" t="s">
        <v>598</v>
      </c>
      <c r="C109" s="385"/>
      <c r="D109" s="386">
        <v>2</v>
      </c>
      <c r="E109" s="386"/>
      <c r="F109" s="386">
        <v>3.19</v>
      </c>
      <c r="G109" s="390">
        <v>1</v>
      </c>
      <c r="H109" s="389">
        <f t="shared" si="2"/>
        <v>6.38</v>
      </c>
      <c r="I109" s="483"/>
      <c r="J109" s="387"/>
      <c r="K109" s="387" t="s">
        <v>3</v>
      </c>
      <c r="L109" s="389">
        <f t="shared" si="3"/>
        <v>6.38</v>
      </c>
    </row>
    <row r="110" spans="1:12" ht="13.8" x14ac:dyDescent="0.3">
      <c r="A110" s="218"/>
      <c r="B110" s="522" t="s">
        <v>592</v>
      </c>
      <c r="C110" s="385"/>
      <c r="D110" s="386">
        <v>4.0999999999999996</v>
      </c>
      <c r="E110" s="386"/>
      <c r="F110" s="386">
        <v>3.19</v>
      </c>
      <c r="G110" s="390">
        <v>1</v>
      </c>
      <c r="H110" s="389">
        <f t="shared" si="2"/>
        <v>13.078999999999999</v>
      </c>
      <c r="I110" s="483"/>
      <c r="J110" s="387"/>
      <c r="K110" s="387" t="s">
        <v>3</v>
      </c>
      <c r="L110" s="389">
        <f t="shared" si="3"/>
        <v>13.078999999999999</v>
      </c>
    </row>
    <row r="111" spans="1:12" ht="13.8" x14ac:dyDescent="0.3">
      <c r="A111" s="218"/>
      <c r="B111" s="522" t="s">
        <v>599</v>
      </c>
      <c r="C111" s="385"/>
      <c r="D111" s="386">
        <v>2.15</v>
      </c>
      <c r="E111" s="386"/>
      <c r="F111" s="386">
        <v>3.19</v>
      </c>
      <c r="G111" s="390">
        <v>1</v>
      </c>
      <c r="H111" s="389">
        <f t="shared" si="2"/>
        <v>6.8584999999999994</v>
      </c>
      <c r="I111" s="483"/>
      <c r="J111" s="387"/>
      <c r="K111" s="387" t="s">
        <v>3</v>
      </c>
      <c r="L111" s="389">
        <f t="shared" si="3"/>
        <v>6.8584999999999994</v>
      </c>
    </row>
    <row r="112" spans="1:12" ht="13.8" x14ac:dyDescent="0.3">
      <c r="A112" s="218"/>
      <c r="B112" s="522" t="s">
        <v>601</v>
      </c>
      <c r="C112" s="385"/>
      <c r="D112" s="386">
        <v>2</v>
      </c>
      <c r="E112" s="386"/>
      <c r="F112" s="386">
        <v>3.19</v>
      </c>
      <c r="G112" s="390">
        <v>1</v>
      </c>
      <c r="H112" s="389">
        <f t="shared" si="2"/>
        <v>6.38</v>
      </c>
      <c r="I112" s="483"/>
      <c r="J112" s="387"/>
      <c r="K112" s="387" t="s">
        <v>3</v>
      </c>
      <c r="L112" s="389">
        <f t="shared" si="3"/>
        <v>6.38</v>
      </c>
    </row>
    <row r="113" spans="1:12" ht="13.8" x14ac:dyDescent="0.3">
      <c r="A113" s="218"/>
      <c r="B113" s="522" t="s">
        <v>602</v>
      </c>
      <c r="C113" s="385"/>
      <c r="D113" s="386">
        <v>2.1</v>
      </c>
      <c r="E113" s="386"/>
      <c r="F113" s="386">
        <v>3.19</v>
      </c>
      <c r="G113" s="390">
        <v>1</v>
      </c>
      <c r="H113" s="389">
        <f t="shared" si="2"/>
        <v>6.6989999999999998</v>
      </c>
      <c r="I113" s="483"/>
      <c r="J113" s="387"/>
      <c r="K113" s="387" t="s">
        <v>3</v>
      </c>
      <c r="L113" s="389">
        <f t="shared" si="3"/>
        <v>6.6989999999999998</v>
      </c>
    </row>
    <row r="114" spans="1:12" ht="13.8" x14ac:dyDescent="0.3">
      <c r="A114" s="218"/>
      <c r="B114" s="522" t="s">
        <v>605</v>
      </c>
      <c r="C114" s="385"/>
      <c r="D114" s="386">
        <v>3.94</v>
      </c>
      <c r="E114" s="386"/>
      <c r="F114" s="386">
        <v>3.19</v>
      </c>
      <c r="G114" s="390">
        <v>1</v>
      </c>
      <c r="H114" s="389">
        <f t="shared" si="2"/>
        <v>12.5686</v>
      </c>
      <c r="I114" s="483"/>
      <c r="J114" s="387"/>
      <c r="K114" s="387" t="s">
        <v>3</v>
      </c>
      <c r="L114" s="389">
        <f t="shared" si="3"/>
        <v>12.5686</v>
      </c>
    </row>
    <row r="115" spans="1:12" ht="13.8" x14ac:dyDescent="0.3">
      <c r="A115" s="218"/>
      <c r="B115" s="522" t="s">
        <v>607</v>
      </c>
      <c r="C115" s="385"/>
      <c r="D115" s="386">
        <v>2.7</v>
      </c>
      <c r="E115" s="386"/>
      <c r="F115" s="386">
        <v>3.19</v>
      </c>
      <c r="G115" s="390">
        <v>1</v>
      </c>
      <c r="H115" s="389">
        <f t="shared" si="2"/>
        <v>8.6129999999999995</v>
      </c>
      <c r="I115" s="483"/>
      <c r="J115" s="387"/>
      <c r="K115" s="387" t="s">
        <v>3</v>
      </c>
      <c r="L115" s="389">
        <f t="shared" si="3"/>
        <v>8.6129999999999995</v>
      </c>
    </row>
    <row r="116" spans="1:12" ht="14.4" x14ac:dyDescent="0.25">
      <c r="A116" s="224"/>
      <c r="B116" s="21" t="s">
        <v>563</v>
      </c>
      <c r="C116" s="12"/>
      <c r="D116" s="35">
        <f>SUM(D71:D115)</f>
        <v>127.58000000000001</v>
      </c>
      <c r="E116" s="18"/>
      <c r="F116" s="10"/>
      <c r="G116" s="22"/>
      <c r="H116" s="19"/>
      <c r="I116" s="19"/>
      <c r="J116" s="19"/>
      <c r="K116" s="23" t="s">
        <v>3</v>
      </c>
      <c r="L116" s="13">
        <f>SUM(L71:L115)</f>
        <v>455.97770000000003</v>
      </c>
    </row>
    <row r="117" spans="1:12" ht="14.4" x14ac:dyDescent="0.25">
      <c r="A117" s="224"/>
      <c r="B117" s="822" t="s">
        <v>1</v>
      </c>
      <c r="C117" s="55" t="s">
        <v>0</v>
      </c>
      <c r="D117" s="52" t="s">
        <v>12</v>
      </c>
      <c r="E117" s="52" t="s">
        <v>4</v>
      </c>
      <c r="F117" s="52" t="s">
        <v>2</v>
      </c>
      <c r="G117" s="52" t="s">
        <v>6</v>
      </c>
      <c r="H117" s="148" t="s">
        <v>5</v>
      </c>
      <c r="I117" s="56" t="s">
        <v>13</v>
      </c>
      <c r="J117" s="148" t="s">
        <v>14</v>
      </c>
      <c r="K117" s="822" t="s">
        <v>7</v>
      </c>
      <c r="L117" s="824" t="s">
        <v>8</v>
      </c>
    </row>
    <row r="118" spans="1:12" ht="14.4" x14ac:dyDescent="0.3">
      <c r="A118" s="224"/>
      <c r="B118" s="823"/>
      <c r="C118" s="80" t="s">
        <v>9</v>
      </c>
      <c r="D118" s="81" t="s">
        <v>10</v>
      </c>
      <c r="E118" s="81" t="s">
        <v>10</v>
      </c>
      <c r="F118" s="81" t="s">
        <v>10</v>
      </c>
      <c r="G118" s="80" t="s">
        <v>9</v>
      </c>
      <c r="H118" s="82" t="s">
        <v>11</v>
      </c>
      <c r="I118" s="113" t="s">
        <v>11</v>
      </c>
      <c r="J118" s="82" t="s">
        <v>15</v>
      </c>
      <c r="K118" s="823"/>
      <c r="L118" s="825"/>
    </row>
    <row r="119" spans="1:12" ht="14.4" x14ac:dyDescent="0.3">
      <c r="A119" s="224"/>
      <c r="B119" s="20" t="s">
        <v>704</v>
      </c>
      <c r="C119" s="381"/>
      <c r="D119" s="382"/>
      <c r="E119" s="468"/>
      <c r="F119" s="469"/>
      <c r="G119" s="470"/>
      <c r="H119" s="471"/>
      <c r="I119" s="471"/>
      <c r="J119" s="471"/>
      <c r="K119" s="472"/>
      <c r="L119" s="473"/>
    </row>
    <row r="120" spans="1:12" ht="14.4" x14ac:dyDescent="0.25">
      <c r="A120" s="218"/>
      <c r="B120" s="522" t="s">
        <v>527</v>
      </c>
      <c r="C120" s="357"/>
      <c r="D120" s="474">
        <v>6.53</v>
      </c>
      <c r="E120" s="357"/>
      <c r="F120" s="475">
        <v>3.19</v>
      </c>
      <c r="G120" s="476">
        <v>1</v>
      </c>
      <c r="H120" s="389">
        <f>D120*F120*G120-I120</f>
        <v>20.8307</v>
      </c>
      <c r="I120" s="453"/>
      <c r="J120" s="132"/>
      <c r="K120" s="366" t="s">
        <v>3</v>
      </c>
      <c r="L120" s="483">
        <f t="shared" ref="L120:L127" si="4">H120</f>
        <v>20.8307</v>
      </c>
    </row>
    <row r="121" spans="1:12" ht="14.4" x14ac:dyDescent="0.25">
      <c r="A121" s="218"/>
      <c r="B121" s="522" t="s">
        <v>528</v>
      </c>
      <c r="C121" s="357"/>
      <c r="D121" s="474">
        <v>2.85</v>
      </c>
      <c r="E121" s="357"/>
      <c r="F121" s="475">
        <v>3.19</v>
      </c>
      <c r="G121" s="476">
        <v>1</v>
      </c>
      <c r="H121" s="389">
        <f t="shared" ref="H121:H127" si="5">D121*F121*G121-I121</f>
        <v>9.0914999999999999</v>
      </c>
      <c r="I121" s="453"/>
      <c r="J121" s="132"/>
      <c r="K121" s="366" t="s">
        <v>3</v>
      </c>
      <c r="L121" s="483">
        <f t="shared" si="4"/>
        <v>9.0914999999999999</v>
      </c>
    </row>
    <row r="122" spans="1:12" ht="14.4" x14ac:dyDescent="0.25">
      <c r="A122" s="218"/>
      <c r="B122" s="522" t="s">
        <v>529</v>
      </c>
      <c r="C122" s="357"/>
      <c r="D122" s="474">
        <v>1.65</v>
      </c>
      <c r="E122" s="357"/>
      <c r="F122" s="475">
        <v>3.19</v>
      </c>
      <c r="G122" s="476">
        <v>1</v>
      </c>
      <c r="H122" s="389">
        <f t="shared" si="5"/>
        <v>5.2634999999999996</v>
      </c>
      <c r="I122" s="453"/>
      <c r="J122" s="132"/>
      <c r="K122" s="366" t="s">
        <v>3</v>
      </c>
      <c r="L122" s="483">
        <f t="shared" si="4"/>
        <v>5.2634999999999996</v>
      </c>
    </row>
    <row r="123" spans="1:12" ht="14.4" x14ac:dyDescent="0.25">
      <c r="A123" s="218"/>
      <c r="B123" s="522" t="s">
        <v>530</v>
      </c>
      <c r="C123" s="78"/>
      <c r="D123" s="477">
        <v>3.6</v>
      </c>
      <c r="E123" s="78"/>
      <c r="F123" s="475">
        <v>3.19</v>
      </c>
      <c r="G123" s="476">
        <v>1</v>
      </c>
      <c r="H123" s="389">
        <f t="shared" si="5"/>
        <v>11.484</v>
      </c>
      <c r="I123" s="451"/>
      <c r="J123" s="214"/>
      <c r="K123" s="157" t="s">
        <v>3</v>
      </c>
      <c r="L123" s="483">
        <f t="shared" si="4"/>
        <v>11.484</v>
      </c>
    </row>
    <row r="124" spans="1:12" ht="14.4" x14ac:dyDescent="0.25">
      <c r="A124" s="218"/>
      <c r="B124" s="522" t="s">
        <v>533</v>
      </c>
      <c r="C124" s="78"/>
      <c r="D124" s="477">
        <v>7.23</v>
      </c>
      <c r="E124" s="78"/>
      <c r="F124" s="475">
        <v>3.19</v>
      </c>
      <c r="G124" s="476">
        <v>1</v>
      </c>
      <c r="H124" s="389">
        <f t="shared" si="5"/>
        <v>23.063700000000001</v>
      </c>
      <c r="I124" s="451"/>
      <c r="J124" s="214"/>
      <c r="K124" s="157" t="s">
        <v>3</v>
      </c>
      <c r="L124" s="483">
        <f t="shared" si="4"/>
        <v>23.063700000000001</v>
      </c>
    </row>
    <row r="125" spans="1:12" ht="14.4" x14ac:dyDescent="0.25">
      <c r="A125" s="218"/>
      <c r="B125" s="522" t="s">
        <v>603</v>
      </c>
      <c r="C125" s="78"/>
      <c r="D125" s="477">
        <v>6.44</v>
      </c>
      <c r="E125" s="78"/>
      <c r="F125" s="186">
        <v>3.19</v>
      </c>
      <c r="G125" s="482">
        <v>1</v>
      </c>
      <c r="H125" s="389">
        <f t="shared" si="5"/>
        <v>14.1036</v>
      </c>
      <c r="I125" s="451">
        <v>6.44</v>
      </c>
      <c r="J125" s="214"/>
      <c r="K125" s="157" t="s">
        <v>3</v>
      </c>
      <c r="L125" s="483">
        <f t="shared" si="4"/>
        <v>14.1036</v>
      </c>
    </row>
    <row r="126" spans="1:12" ht="14.4" x14ac:dyDescent="0.25">
      <c r="A126" s="218"/>
      <c r="B126" s="522" t="s">
        <v>604</v>
      </c>
      <c r="C126" s="78"/>
      <c r="D126" s="477">
        <v>2</v>
      </c>
      <c r="E126" s="78"/>
      <c r="F126" s="186">
        <v>3.19</v>
      </c>
      <c r="G126" s="482">
        <v>1</v>
      </c>
      <c r="H126" s="389">
        <f t="shared" si="5"/>
        <v>6.38</v>
      </c>
      <c r="I126" s="451"/>
      <c r="J126" s="214"/>
      <c r="K126" s="157" t="s">
        <v>3</v>
      </c>
      <c r="L126" s="483">
        <f t="shared" si="4"/>
        <v>6.38</v>
      </c>
    </row>
    <row r="127" spans="1:12" ht="14.4" x14ac:dyDescent="0.25">
      <c r="A127" s="218"/>
      <c r="B127" s="522" t="s">
        <v>594</v>
      </c>
      <c r="C127" s="78"/>
      <c r="D127" s="477">
        <v>5.6</v>
      </c>
      <c r="E127" s="78"/>
      <c r="F127" s="186">
        <v>3.19</v>
      </c>
      <c r="G127" s="482">
        <v>1</v>
      </c>
      <c r="H127" s="389">
        <f t="shared" si="5"/>
        <v>17.863999999999997</v>
      </c>
      <c r="I127" s="451"/>
      <c r="J127" s="214"/>
      <c r="K127" s="157" t="s">
        <v>3</v>
      </c>
      <c r="L127" s="483">
        <f t="shared" si="4"/>
        <v>17.863999999999997</v>
      </c>
    </row>
    <row r="128" spans="1:12" ht="14.4" x14ac:dyDescent="0.25">
      <c r="A128" s="224"/>
      <c r="B128" s="21" t="s">
        <v>563</v>
      </c>
      <c r="C128" s="12"/>
      <c r="D128" s="35">
        <f>SUM(D120:D127)</f>
        <v>35.9</v>
      </c>
      <c r="E128" s="459"/>
      <c r="F128" s="10"/>
      <c r="G128" s="22"/>
      <c r="H128" s="19"/>
      <c r="I128" s="19"/>
      <c r="J128" s="19"/>
      <c r="K128" s="23" t="s">
        <v>3</v>
      </c>
      <c r="L128" s="13">
        <f>SUM(L120:L127)</f>
        <v>108.08099999999999</v>
      </c>
    </row>
    <row r="129" spans="1:12" ht="14.4" x14ac:dyDescent="0.3">
      <c r="A129" s="224"/>
      <c r="B129" s="24" t="s">
        <v>700</v>
      </c>
      <c r="C129" s="114"/>
      <c r="D129" s="115"/>
      <c r="E129" s="115"/>
      <c r="F129" s="115"/>
      <c r="G129" s="114"/>
      <c r="H129" s="116"/>
      <c r="I129" s="117"/>
      <c r="J129" s="116"/>
      <c r="K129" s="116"/>
      <c r="L129" s="118"/>
    </row>
    <row r="130" spans="1:12" ht="13.8" x14ac:dyDescent="0.25">
      <c r="A130" s="218"/>
      <c r="B130" s="522" t="s">
        <v>554</v>
      </c>
      <c r="C130" s="398"/>
      <c r="D130" s="389">
        <v>8.1</v>
      </c>
      <c r="E130" s="389"/>
      <c r="F130" s="389">
        <v>3.19</v>
      </c>
      <c r="G130" s="390">
        <v>1</v>
      </c>
      <c r="H130" s="389">
        <f t="shared" ref="H130:H132" si="6">D130*F130*G130-I130</f>
        <v>25.838999999999999</v>
      </c>
      <c r="I130" s="400"/>
      <c r="J130" s="399"/>
      <c r="K130" s="399" t="s">
        <v>3</v>
      </c>
      <c r="L130" s="483">
        <f t="shared" ref="L130:L132" si="7">H130</f>
        <v>25.838999999999999</v>
      </c>
    </row>
    <row r="131" spans="1:12" ht="13.8" x14ac:dyDescent="0.25">
      <c r="A131" s="218"/>
      <c r="B131" s="522" t="s">
        <v>555</v>
      </c>
      <c r="C131" s="398"/>
      <c r="D131" s="389">
        <v>4.21</v>
      </c>
      <c r="E131" s="389"/>
      <c r="F131" s="389">
        <v>3.19</v>
      </c>
      <c r="G131" s="390">
        <v>1</v>
      </c>
      <c r="H131" s="389">
        <f t="shared" si="6"/>
        <v>13.4299</v>
      </c>
      <c r="I131" s="400"/>
      <c r="J131" s="399"/>
      <c r="K131" s="399" t="s">
        <v>3</v>
      </c>
      <c r="L131" s="483">
        <f t="shared" si="7"/>
        <v>13.4299</v>
      </c>
    </row>
    <row r="132" spans="1:12" ht="13.8" x14ac:dyDescent="0.25">
      <c r="A132" s="218"/>
      <c r="B132" s="522" t="s">
        <v>608</v>
      </c>
      <c r="C132" s="398"/>
      <c r="D132" s="389">
        <v>2.4700000000000002</v>
      </c>
      <c r="E132" s="389"/>
      <c r="F132" s="389">
        <v>3.19</v>
      </c>
      <c r="G132" s="390">
        <v>1</v>
      </c>
      <c r="H132" s="389">
        <f t="shared" si="6"/>
        <v>7.8793000000000006</v>
      </c>
      <c r="I132" s="400"/>
      <c r="J132" s="399"/>
      <c r="K132" s="399" t="s">
        <v>3</v>
      </c>
      <c r="L132" s="483">
        <f t="shared" si="7"/>
        <v>7.8793000000000006</v>
      </c>
    </row>
    <row r="133" spans="1:12" ht="14.4" x14ac:dyDescent="0.25">
      <c r="B133" s="21" t="s">
        <v>564</v>
      </c>
      <c r="C133" s="12"/>
      <c r="D133" s="35">
        <f>SUM(D130:D132)</f>
        <v>14.78</v>
      </c>
      <c r="E133" s="459"/>
      <c r="F133" s="10"/>
      <c r="G133" s="22"/>
      <c r="H133" s="19"/>
      <c r="I133" s="19"/>
      <c r="J133" s="19"/>
      <c r="K133" s="23" t="s">
        <v>3</v>
      </c>
      <c r="L133" s="13">
        <f>SUM(L130:L132)</f>
        <v>47.148200000000003</v>
      </c>
    </row>
    <row r="134" spans="1:12" ht="14.4" customHeight="1" x14ac:dyDescent="0.25">
      <c r="B134" s="545" t="s">
        <v>645</v>
      </c>
      <c r="C134" s="546"/>
      <c r="D134" s="547"/>
      <c r="E134" s="547"/>
      <c r="F134" s="547"/>
      <c r="G134" s="546"/>
      <c r="H134" s="548"/>
      <c r="I134" s="549"/>
      <c r="J134" s="548"/>
      <c r="K134" s="548"/>
      <c r="L134" s="550"/>
    </row>
    <row r="135" spans="1:12" ht="15.6" x14ac:dyDescent="0.25">
      <c r="B135" s="59" t="s">
        <v>50</v>
      </c>
      <c r="C135" s="119"/>
      <c r="D135" s="120"/>
      <c r="E135" s="119"/>
      <c r="F135" s="121"/>
      <c r="G135" s="122"/>
      <c r="H135" s="123"/>
      <c r="I135" s="123"/>
      <c r="J135" s="123"/>
      <c r="K135" s="124"/>
      <c r="L135" s="125"/>
    </row>
    <row r="136" spans="1:12" ht="14.4" x14ac:dyDescent="0.25">
      <c r="B136" s="822" t="s">
        <v>1</v>
      </c>
      <c r="C136" s="55" t="s">
        <v>0</v>
      </c>
      <c r="D136" s="52" t="s">
        <v>12</v>
      </c>
      <c r="E136" s="52" t="s">
        <v>4</v>
      </c>
      <c r="F136" s="52" t="s">
        <v>2</v>
      </c>
      <c r="G136" s="52" t="s">
        <v>6</v>
      </c>
      <c r="H136" s="148" t="s">
        <v>5</v>
      </c>
      <c r="I136" s="56" t="s">
        <v>13</v>
      </c>
      <c r="J136" s="148" t="s">
        <v>14</v>
      </c>
      <c r="K136" s="822" t="s">
        <v>7</v>
      </c>
      <c r="L136" s="824" t="s">
        <v>8</v>
      </c>
    </row>
    <row r="137" spans="1:12" ht="14.4" x14ac:dyDescent="0.3">
      <c r="B137" s="823"/>
      <c r="C137" s="80" t="s">
        <v>9</v>
      </c>
      <c r="D137" s="81" t="s">
        <v>10</v>
      </c>
      <c r="E137" s="81" t="s">
        <v>10</v>
      </c>
      <c r="F137" s="81" t="s">
        <v>10</v>
      </c>
      <c r="G137" s="80" t="s">
        <v>9</v>
      </c>
      <c r="H137" s="82" t="s">
        <v>11</v>
      </c>
      <c r="I137" s="113" t="s">
        <v>11</v>
      </c>
      <c r="J137" s="82" t="s">
        <v>15</v>
      </c>
      <c r="K137" s="823"/>
      <c r="L137" s="825"/>
    </row>
    <row r="138" spans="1:12" ht="14.4" x14ac:dyDescent="0.3">
      <c r="B138" s="20" t="s">
        <v>698</v>
      </c>
      <c r="C138" s="381"/>
      <c r="D138" s="382"/>
      <c r="E138" s="382"/>
      <c r="F138" s="382"/>
      <c r="G138" s="381"/>
      <c r="H138" s="383"/>
      <c r="I138" s="384"/>
      <c r="J138" s="383"/>
      <c r="K138" s="383"/>
      <c r="L138" s="7"/>
    </row>
    <row r="139" spans="1:12" ht="14.4" x14ac:dyDescent="0.25">
      <c r="B139" s="217" t="s">
        <v>477</v>
      </c>
      <c r="C139" s="398"/>
      <c r="D139" s="483">
        <v>3.07</v>
      </c>
      <c r="E139" s="389"/>
      <c r="F139" s="389">
        <v>3.45</v>
      </c>
      <c r="G139" s="390">
        <v>1</v>
      </c>
      <c r="H139" s="389">
        <f t="shared" ref="H139:H144" si="8">D139*F139*G139-I139</f>
        <v>10.5915</v>
      </c>
      <c r="I139" s="481"/>
      <c r="J139" s="399"/>
      <c r="K139" s="399" t="s">
        <v>3</v>
      </c>
      <c r="L139" s="483">
        <f t="shared" ref="L139:L144" si="9">H139</f>
        <v>10.5915</v>
      </c>
    </row>
    <row r="140" spans="1:12" ht="14.4" x14ac:dyDescent="0.25">
      <c r="B140" s="217" t="s">
        <v>478</v>
      </c>
      <c r="C140" s="398"/>
      <c r="D140" s="483">
        <v>4.4400000000000004</v>
      </c>
      <c r="E140" s="389"/>
      <c r="F140" s="389">
        <v>3.45</v>
      </c>
      <c r="G140" s="390">
        <v>1</v>
      </c>
      <c r="H140" s="389">
        <f t="shared" si="8"/>
        <v>15.318000000000001</v>
      </c>
      <c r="I140" s="481"/>
      <c r="J140" s="399"/>
      <c r="K140" s="399" t="s">
        <v>3</v>
      </c>
      <c r="L140" s="483">
        <f t="shared" si="9"/>
        <v>15.318000000000001</v>
      </c>
    </row>
    <row r="141" spans="1:12" ht="14.4" x14ac:dyDescent="0.25">
      <c r="B141" s="217" t="s">
        <v>479</v>
      </c>
      <c r="C141" s="398"/>
      <c r="D141" s="483">
        <v>2.65</v>
      </c>
      <c r="E141" s="389"/>
      <c r="F141" s="389">
        <v>3.45</v>
      </c>
      <c r="G141" s="390">
        <v>1</v>
      </c>
      <c r="H141" s="389">
        <f t="shared" si="8"/>
        <v>9.1425000000000001</v>
      </c>
      <c r="I141" s="481"/>
      <c r="J141" s="399"/>
      <c r="K141" s="399" t="s">
        <v>3</v>
      </c>
      <c r="L141" s="483">
        <f t="shared" si="9"/>
        <v>9.1425000000000001</v>
      </c>
    </row>
    <row r="142" spans="1:12" ht="14.4" x14ac:dyDescent="0.25">
      <c r="B142" s="217" t="s">
        <v>480</v>
      </c>
      <c r="C142" s="398"/>
      <c r="D142" s="483">
        <v>15.92</v>
      </c>
      <c r="E142" s="389"/>
      <c r="F142" s="389">
        <v>3.45</v>
      </c>
      <c r="G142" s="390">
        <v>1</v>
      </c>
      <c r="H142" s="389">
        <f t="shared" si="8"/>
        <v>54.923999999999999</v>
      </c>
      <c r="I142" s="481"/>
      <c r="J142" s="399"/>
      <c r="K142" s="399" t="s">
        <v>3</v>
      </c>
      <c r="L142" s="483">
        <f t="shared" si="9"/>
        <v>54.923999999999999</v>
      </c>
    </row>
    <row r="143" spans="1:12" ht="14.4" x14ac:dyDescent="0.25">
      <c r="B143" s="217" t="s">
        <v>481</v>
      </c>
      <c r="C143" s="398"/>
      <c r="D143" s="483">
        <v>30.19</v>
      </c>
      <c r="E143" s="389"/>
      <c r="F143" s="389">
        <v>3.45</v>
      </c>
      <c r="G143" s="390">
        <v>1</v>
      </c>
      <c r="H143" s="389">
        <f t="shared" si="8"/>
        <v>104.1555</v>
      </c>
      <c r="I143" s="481"/>
      <c r="J143" s="399"/>
      <c r="K143" s="399" t="s">
        <v>3</v>
      </c>
      <c r="L143" s="483">
        <f t="shared" si="9"/>
        <v>104.1555</v>
      </c>
    </row>
    <row r="144" spans="1:12" ht="14.4" x14ac:dyDescent="0.25">
      <c r="B144" s="199" t="s">
        <v>482</v>
      </c>
      <c r="C144" s="398"/>
      <c r="D144" s="483">
        <v>1.41</v>
      </c>
      <c r="E144" s="389"/>
      <c r="F144" s="389">
        <v>3.28</v>
      </c>
      <c r="G144" s="390">
        <v>1</v>
      </c>
      <c r="H144" s="389">
        <f t="shared" si="8"/>
        <v>4.6247999999999996</v>
      </c>
      <c r="I144" s="481"/>
      <c r="J144" s="399"/>
      <c r="K144" s="399" t="s">
        <v>3</v>
      </c>
      <c r="L144" s="483">
        <f t="shared" si="9"/>
        <v>4.6247999999999996</v>
      </c>
    </row>
    <row r="145" spans="1:12" ht="14.4" x14ac:dyDescent="0.25">
      <c r="B145" s="21" t="s">
        <v>563</v>
      </c>
      <c r="C145" s="12"/>
      <c r="D145" s="35">
        <f>SUM(D139:D144)</f>
        <v>57.679999999999993</v>
      </c>
      <c r="E145" s="459"/>
      <c r="F145" s="10"/>
      <c r="G145" s="22"/>
      <c r="H145" s="19"/>
      <c r="I145" s="19"/>
      <c r="J145" s="19"/>
      <c r="K145" s="23" t="s">
        <v>3</v>
      </c>
      <c r="L145" s="13">
        <f>SUM(L139:L144)</f>
        <v>198.75630000000001</v>
      </c>
    </row>
    <row r="146" spans="1:12" ht="14.4" x14ac:dyDescent="0.3">
      <c r="B146" s="24" t="s">
        <v>688</v>
      </c>
      <c r="C146" s="114"/>
      <c r="D146" s="115"/>
      <c r="E146" s="115"/>
      <c r="F146" s="115"/>
      <c r="G146" s="114"/>
      <c r="H146" s="116"/>
      <c r="I146" s="117"/>
      <c r="J146" s="116"/>
      <c r="K146" s="116"/>
      <c r="L146" s="118"/>
    </row>
    <row r="147" spans="1:12" ht="14.4" x14ac:dyDescent="0.25">
      <c r="B147" s="217" t="s">
        <v>53</v>
      </c>
      <c r="C147" s="398"/>
      <c r="D147" s="483">
        <v>6.7</v>
      </c>
      <c r="E147" s="389"/>
      <c r="F147" s="389">
        <v>3.45</v>
      </c>
      <c r="G147" s="390">
        <v>1</v>
      </c>
      <c r="H147" s="389">
        <f t="shared" ref="H147:H149" si="10">D147*F147*G147-I147</f>
        <v>23.115000000000002</v>
      </c>
      <c r="I147" s="481"/>
      <c r="J147" s="399"/>
      <c r="K147" s="399" t="s">
        <v>3</v>
      </c>
      <c r="L147" s="483">
        <f t="shared" ref="L147:L149" si="11">H147</f>
        <v>23.115000000000002</v>
      </c>
    </row>
    <row r="148" spans="1:12" ht="14.4" x14ac:dyDescent="0.25">
      <c r="B148" s="217" t="s">
        <v>475</v>
      </c>
      <c r="C148" s="398"/>
      <c r="D148" s="483">
        <v>3.53</v>
      </c>
      <c r="E148" s="389"/>
      <c r="F148" s="389">
        <v>3.45</v>
      </c>
      <c r="G148" s="390">
        <v>1</v>
      </c>
      <c r="H148" s="389">
        <f t="shared" si="10"/>
        <v>12.1785</v>
      </c>
      <c r="I148" s="481"/>
      <c r="J148" s="399"/>
      <c r="K148" s="399" t="s">
        <v>3</v>
      </c>
      <c r="L148" s="483">
        <f t="shared" si="11"/>
        <v>12.1785</v>
      </c>
    </row>
    <row r="149" spans="1:12" ht="14.4" x14ac:dyDescent="0.25">
      <c r="B149" s="217" t="s">
        <v>476</v>
      </c>
      <c r="C149" s="398"/>
      <c r="D149" s="483">
        <v>2.83</v>
      </c>
      <c r="E149" s="389"/>
      <c r="F149" s="389">
        <v>3.45</v>
      </c>
      <c r="G149" s="390">
        <v>1</v>
      </c>
      <c r="H149" s="389">
        <f t="shared" si="10"/>
        <v>9.7635000000000005</v>
      </c>
      <c r="I149" s="481"/>
      <c r="J149" s="399"/>
      <c r="K149" s="399" t="s">
        <v>3</v>
      </c>
      <c r="L149" s="483">
        <f t="shared" si="11"/>
        <v>9.7635000000000005</v>
      </c>
    </row>
    <row r="150" spans="1:12" ht="14.4" x14ac:dyDescent="0.25">
      <c r="B150" s="21" t="s">
        <v>564</v>
      </c>
      <c r="C150" s="12"/>
      <c r="D150" s="35">
        <f>SUM(D147:D149)</f>
        <v>13.06</v>
      </c>
      <c r="E150" s="459"/>
      <c r="F150" s="10"/>
      <c r="G150" s="22"/>
      <c r="H150" s="19"/>
      <c r="I150" s="19"/>
      <c r="J150" s="19"/>
      <c r="K150" s="23" t="s">
        <v>3</v>
      </c>
      <c r="L150" s="13">
        <f>SUM(L147:L149)</f>
        <v>45.057000000000002</v>
      </c>
    </row>
    <row r="151" spans="1:12" ht="15.6" x14ac:dyDescent="0.25">
      <c r="B151" s="539" t="s">
        <v>644</v>
      </c>
      <c r="C151" s="540"/>
      <c r="D151" s="541"/>
      <c r="E151" s="541"/>
      <c r="F151" s="541"/>
      <c r="G151" s="540"/>
      <c r="H151" s="542"/>
      <c r="I151" s="543"/>
      <c r="J151" s="542"/>
      <c r="K151" s="542"/>
      <c r="L151" s="544"/>
    </row>
    <row r="152" spans="1:12" ht="15.6" x14ac:dyDescent="0.25">
      <c r="A152" s="69"/>
      <c r="B152" s="59" t="s">
        <v>58</v>
      </c>
      <c r="C152" s="119"/>
      <c r="D152" s="120"/>
      <c r="E152" s="119"/>
      <c r="F152" s="121"/>
      <c r="G152" s="122"/>
      <c r="H152" s="123"/>
      <c r="I152" s="123"/>
      <c r="J152" s="123"/>
      <c r="K152" s="124"/>
      <c r="L152" s="125"/>
    </row>
    <row r="153" spans="1:12" ht="14.4" x14ac:dyDescent="0.25">
      <c r="B153" s="822" t="s">
        <v>1</v>
      </c>
      <c r="C153" s="55" t="s">
        <v>0</v>
      </c>
      <c r="D153" s="52" t="s">
        <v>12</v>
      </c>
      <c r="E153" s="52" t="s">
        <v>4</v>
      </c>
      <c r="F153" s="52" t="s">
        <v>2</v>
      </c>
      <c r="G153" s="52" t="s">
        <v>6</v>
      </c>
      <c r="H153" s="148" t="s">
        <v>5</v>
      </c>
      <c r="I153" s="56" t="s">
        <v>13</v>
      </c>
      <c r="J153" s="148" t="s">
        <v>14</v>
      </c>
      <c r="K153" s="822" t="s">
        <v>7</v>
      </c>
      <c r="L153" s="824" t="s">
        <v>8</v>
      </c>
    </row>
    <row r="154" spans="1:12" ht="14.4" x14ac:dyDescent="0.3">
      <c r="B154" s="823"/>
      <c r="C154" s="80" t="s">
        <v>9</v>
      </c>
      <c r="D154" s="81" t="s">
        <v>10</v>
      </c>
      <c r="E154" s="81" t="s">
        <v>10</v>
      </c>
      <c r="F154" s="81" t="s">
        <v>10</v>
      </c>
      <c r="G154" s="80" t="s">
        <v>9</v>
      </c>
      <c r="H154" s="82" t="s">
        <v>11</v>
      </c>
      <c r="I154" s="113" t="s">
        <v>11</v>
      </c>
      <c r="J154" s="82" t="s">
        <v>15</v>
      </c>
      <c r="K154" s="823"/>
      <c r="L154" s="825"/>
    </row>
    <row r="155" spans="1:12" ht="15" customHeight="1" x14ac:dyDescent="0.3">
      <c r="B155" s="20" t="s">
        <v>699</v>
      </c>
      <c r="C155" s="381"/>
      <c r="D155" s="382"/>
      <c r="E155" s="382"/>
      <c r="F155" s="382"/>
      <c r="G155" s="381"/>
      <c r="H155" s="383"/>
      <c r="I155" s="384"/>
      <c r="J155" s="383"/>
      <c r="K155" s="383"/>
      <c r="L155" s="7"/>
    </row>
    <row r="156" spans="1:12" ht="15" customHeight="1" x14ac:dyDescent="0.25">
      <c r="A156" s="224"/>
      <c r="B156" s="217" t="s">
        <v>53</v>
      </c>
      <c r="C156" s="398"/>
      <c r="D156" s="389">
        <v>0.32</v>
      </c>
      <c r="E156" s="389"/>
      <c r="F156" s="389">
        <v>3.94</v>
      </c>
      <c r="G156" s="390">
        <v>1</v>
      </c>
      <c r="H156" s="389">
        <f t="shared" ref="H156:H204" si="12">D156*F156*G156-I156</f>
        <v>1.2607999999999999</v>
      </c>
      <c r="I156" s="483"/>
      <c r="J156" s="399"/>
      <c r="K156" s="399" t="s">
        <v>3</v>
      </c>
      <c r="L156" s="389">
        <f>H156</f>
        <v>1.2607999999999999</v>
      </c>
    </row>
    <row r="157" spans="1:12" ht="15" customHeight="1" x14ac:dyDescent="0.25">
      <c r="A157" s="224"/>
      <c r="B157" s="217" t="s">
        <v>475</v>
      </c>
      <c r="C157" s="398"/>
      <c r="D157" s="389">
        <v>1.48</v>
      </c>
      <c r="E157" s="389"/>
      <c r="F157" s="389">
        <v>3.94</v>
      </c>
      <c r="G157" s="390">
        <v>1</v>
      </c>
      <c r="H157" s="389">
        <f t="shared" ref="H157" si="13">D157*F157*G157-I157</f>
        <v>1.9811999999999999</v>
      </c>
      <c r="I157" s="507">
        <v>3.85</v>
      </c>
      <c r="J157" s="399"/>
      <c r="K157" s="399" t="s">
        <v>3</v>
      </c>
      <c r="L157" s="389">
        <f t="shared" ref="L157" si="14">H157</f>
        <v>1.9811999999999999</v>
      </c>
    </row>
    <row r="158" spans="1:12" ht="15" customHeight="1" x14ac:dyDescent="0.25">
      <c r="A158" s="224"/>
      <c r="B158" s="217" t="s">
        <v>476</v>
      </c>
      <c r="C158" s="398"/>
      <c r="D158" s="389">
        <v>1.48</v>
      </c>
      <c r="E158" s="389"/>
      <c r="F158" s="389">
        <v>3.94</v>
      </c>
      <c r="G158" s="390">
        <v>1</v>
      </c>
      <c r="H158" s="389">
        <f t="shared" si="12"/>
        <v>5.8311999999999999</v>
      </c>
      <c r="I158" s="483"/>
      <c r="J158" s="399"/>
      <c r="K158" s="399" t="s">
        <v>3</v>
      </c>
      <c r="L158" s="389">
        <f>H158</f>
        <v>5.8311999999999999</v>
      </c>
    </row>
    <row r="159" spans="1:12" ht="15" customHeight="1" x14ac:dyDescent="0.25">
      <c r="A159" s="224"/>
      <c r="B159" s="572" t="s">
        <v>477</v>
      </c>
      <c r="C159" s="398"/>
      <c r="D159" s="389">
        <v>3.9</v>
      </c>
      <c r="E159" s="389"/>
      <c r="F159" s="389">
        <v>3.94</v>
      </c>
      <c r="G159" s="390">
        <v>1</v>
      </c>
      <c r="H159" s="389">
        <f>D159*F159*G159-I159</f>
        <v>12.635999999999999</v>
      </c>
      <c r="I159" s="483">
        <v>2.73</v>
      </c>
      <c r="J159" s="399"/>
      <c r="K159" s="399" t="s">
        <v>3</v>
      </c>
      <c r="L159" s="389">
        <f>H159</f>
        <v>12.635999999999999</v>
      </c>
    </row>
    <row r="160" spans="1:12" ht="13.8" x14ac:dyDescent="0.25">
      <c r="A160" s="218"/>
      <c r="B160" s="572" t="s">
        <v>478</v>
      </c>
      <c r="C160" s="398"/>
      <c r="D160" s="389">
        <v>2.33</v>
      </c>
      <c r="E160" s="389"/>
      <c r="F160" s="389">
        <v>3.94</v>
      </c>
      <c r="G160" s="390">
        <v>1</v>
      </c>
      <c r="H160" s="389">
        <f>D160*F160*G160-I160</f>
        <v>3.0702000000000007</v>
      </c>
      <c r="I160" s="483">
        <v>6.11</v>
      </c>
      <c r="J160" s="399"/>
      <c r="K160" s="399" t="s">
        <v>3</v>
      </c>
      <c r="L160" s="389">
        <f>H160</f>
        <v>3.0702000000000007</v>
      </c>
    </row>
    <row r="161" spans="1:12" ht="13.8" x14ac:dyDescent="0.25">
      <c r="A161" s="218"/>
      <c r="B161" s="572" t="s">
        <v>479</v>
      </c>
      <c r="C161" s="398"/>
      <c r="D161" s="389">
        <v>0.32</v>
      </c>
      <c r="E161" s="389"/>
      <c r="F161" s="389">
        <v>3.94</v>
      </c>
      <c r="G161" s="390">
        <v>1</v>
      </c>
      <c r="H161" s="389">
        <f>D161*F161*G161-I161</f>
        <v>1.2607999999999999</v>
      </c>
      <c r="I161" s="483"/>
      <c r="J161" s="399"/>
      <c r="K161" s="399" t="s">
        <v>3</v>
      </c>
      <c r="L161" s="389">
        <f>H161</f>
        <v>1.2607999999999999</v>
      </c>
    </row>
    <row r="162" spans="1:12" ht="13.8" x14ac:dyDescent="0.25">
      <c r="A162" s="218"/>
      <c r="B162" s="572" t="s">
        <v>480</v>
      </c>
      <c r="C162" s="398"/>
      <c r="D162" s="389">
        <v>4.75</v>
      </c>
      <c r="E162" s="389"/>
      <c r="F162" s="389">
        <v>3.94</v>
      </c>
      <c r="G162" s="390">
        <v>1</v>
      </c>
      <c r="H162" s="389">
        <f t="shared" si="12"/>
        <v>9.875</v>
      </c>
      <c r="I162" s="483">
        <v>8.84</v>
      </c>
      <c r="J162" s="399"/>
      <c r="K162" s="399" t="s">
        <v>3</v>
      </c>
      <c r="L162" s="389">
        <f t="shared" ref="L162:L204" si="15">H162</f>
        <v>9.875</v>
      </c>
    </row>
    <row r="163" spans="1:12" ht="13.8" x14ac:dyDescent="0.25">
      <c r="A163" s="218"/>
      <c r="B163" s="572" t="s">
        <v>481</v>
      </c>
      <c r="C163" s="398"/>
      <c r="D163" s="389">
        <v>6.13</v>
      </c>
      <c r="E163" s="389"/>
      <c r="F163" s="389">
        <v>3.94</v>
      </c>
      <c r="G163" s="390">
        <v>1</v>
      </c>
      <c r="H163" s="389">
        <f t="shared" si="12"/>
        <v>24.152200000000001</v>
      </c>
      <c r="I163" s="483"/>
      <c r="J163" s="399"/>
      <c r="K163" s="399" t="s">
        <v>3</v>
      </c>
      <c r="L163" s="389">
        <f t="shared" si="15"/>
        <v>24.152200000000001</v>
      </c>
    </row>
    <row r="164" spans="1:12" ht="13.8" x14ac:dyDescent="0.25">
      <c r="A164" s="218"/>
      <c r="B164" s="572" t="s">
        <v>482</v>
      </c>
      <c r="C164" s="398"/>
      <c r="D164" s="389">
        <v>12.49</v>
      </c>
      <c r="E164" s="389"/>
      <c r="F164" s="389">
        <v>3.94</v>
      </c>
      <c r="G164" s="390">
        <v>1</v>
      </c>
      <c r="H164" s="389">
        <f t="shared" si="12"/>
        <v>49.210599999999999</v>
      </c>
      <c r="I164" s="483"/>
      <c r="J164" s="399"/>
      <c r="K164" s="399" t="s">
        <v>3</v>
      </c>
      <c r="L164" s="389">
        <f t="shared" si="15"/>
        <v>49.210599999999999</v>
      </c>
    </row>
    <row r="165" spans="1:12" ht="13.8" x14ac:dyDescent="0.25">
      <c r="A165" s="218"/>
      <c r="B165" s="572" t="s">
        <v>483</v>
      </c>
      <c r="C165" s="398"/>
      <c r="D165" s="389">
        <v>4.58</v>
      </c>
      <c r="E165" s="389"/>
      <c r="F165" s="389">
        <v>3.94</v>
      </c>
      <c r="G165" s="390">
        <v>1</v>
      </c>
      <c r="H165" s="389">
        <f t="shared" si="12"/>
        <v>18.045200000000001</v>
      </c>
      <c r="I165" s="483"/>
      <c r="J165" s="399"/>
      <c r="K165" s="399" t="s">
        <v>3</v>
      </c>
      <c r="L165" s="389">
        <f t="shared" si="15"/>
        <v>18.045200000000001</v>
      </c>
    </row>
    <row r="166" spans="1:12" ht="13.8" x14ac:dyDescent="0.25">
      <c r="A166" s="218"/>
      <c r="B166" s="572" t="s">
        <v>484</v>
      </c>
      <c r="C166" s="398"/>
      <c r="D166" s="389">
        <v>5.83</v>
      </c>
      <c r="E166" s="389"/>
      <c r="F166" s="389">
        <v>3.94</v>
      </c>
      <c r="G166" s="390">
        <v>1</v>
      </c>
      <c r="H166" s="389">
        <f t="shared" si="12"/>
        <v>22.970199999999998</v>
      </c>
      <c r="I166" s="483"/>
      <c r="J166" s="399"/>
      <c r="K166" s="399" t="s">
        <v>3</v>
      </c>
      <c r="L166" s="389">
        <f t="shared" si="15"/>
        <v>22.970199999999998</v>
      </c>
    </row>
    <row r="167" spans="1:12" ht="13.8" x14ac:dyDescent="0.25">
      <c r="A167" s="218"/>
      <c r="B167" s="572" t="s">
        <v>485</v>
      </c>
      <c r="C167" s="398"/>
      <c r="D167" s="389">
        <v>4.99</v>
      </c>
      <c r="E167" s="389"/>
      <c r="F167" s="389">
        <v>3.94</v>
      </c>
      <c r="G167" s="390">
        <v>1</v>
      </c>
      <c r="H167" s="389">
        <f t="shared" si="12"/>
        <v>19.660600000000002</v>
      </c>
      <c r="I167" s="483"/>
      <c r="J167" s="399"/>
      <c r="K167" s="399" t="s">
        <v>3</v>
      </c>
      <c r="L167" s="389">
        <f t="shared" si="15"/>
        <v>19.660600000000002</v>
      </c>
    </row>
    <row r="168" spans="1:12" ht="13.8" x14ac:dyDescent="0.25">
      <c r="A168" s="218"/>
      <c r="B168" s="572" t="s">
        <v>486</v>
      </c>
      <c r="C168" s="398"/>
      <c r="D168" s="389">
        <v>0.5</v>
      </c>
      <c r="E168" s="389"/>
      <c r="F168" s="389">
        <v>3.94</v>
      </c>
      <c r="G168" s="390">
        <v>1</v>
      </c>
      <c r="H168" s="389">
        <f t="shared" si="12"/>
        <v>1.97</v>
      </c>
      <c r="I168" s="483"/>
      <c r="J168" s="399"/>
      <c r="K168" s="399" t="s">
        <v>3</v>
      </c>
      <c r="L168" s="389">
        <f t="shared" si="15"/>
        <v>1.97</v>
      </c>
    </row>
    <row r="169" spans="1:12" ht="13.8" x14ac:dyDescent="0.25">
      <c r="A169" s="218"/>
      <c r="B169" s="572" t="s">
        <v>487</v>
      </c>
      <c r="C169" s="398"/>
      <c r="D169" s="389">
        <v>1.66</v>
      </c>
      <c r="E169" s="389"/>
      <c r="F169" s="389">
        <v>3.94</v>
      </c>
      <c r="G169" s="390">
        <v>1</v>
      </c>
      <c r="H169" s="389">
        <f t="shared" si="12"/>
        <v>6.5404</v>
      </c>
      <c r="I169" s="483"/>
      <c r="J169" s="399"/>
      <c r="K169" s="399" t="s">
        <v>3</v>
      </c>
      <c r="L169" s="389">
        <f t="shared" si="15"/>
        <v>6.5404</v>
      </c>
    </row>
    <row r="170" spans="1:12" ht="13.8" x14ac:dyDescent="0.25">
      <c r="A170" s="218"/>
      <c r="B170" s="572" t="s">
        <v>492</v>
      </c>
      <c r="C170" s="398"/>
      <c r="D170" s="389">
        <v>2.7</v>
      </c>
      <c r="E170" s="389"/>
      <c r="F170" s="389">
        <v>3.94</v>
      </c>
      <c r="G170" s="390">
        <v>1</v>
      </c>
      <c r="H170" s="389">
        <f t="shared" si="12"/>
        <v>10.638</v>
      </c>
      <c r="I170" s="483"/>
      <c r="J170" s="399"/>
      <c r="K170" s="399" t="s">
        <v>3</v>
      </c>
      <c r="L170" s="389">
        <f t="shared" si="15"/>
        <v>10.638</v>
      </c>
    </row>
    <row r="171" spans="1:12" ht="13.8" x14ac:dyDescent="0.25">
      <c r="A171" s="218"/>
      <c r="B171" s="572" t="s">
        <v>494</v>
      </c>
      <c r="C171" s="398"/>
      <c r="D171" s="389">
        <v>1.87</v>
      </c>
      <c r="E171" s="389"/>
      <c r="F171" s="389">
        <v>3.94</v>
      </c>
      <c r="G171" s="390">
        <v>1</v>
      </c>
      <c r="H171" s="389">
        <f t="shared" si="12"/>
        <v>7.3677999999999999</v>
      </c>
      <c r="I171" s="483"/>
      <c r="J171" s="399"/>
      <c r="K171" s="399" t="s">
        <v>3</v>
      </c>
      <c r="L171" s="389">
        <f t="shared" si="15"/>
        <v>7.3677999999999999</v>
      </c>
    </row>
    <row r="172" spans="1:12" ht="13.8" x14ac:dyDescent="0.25">
      <c r="A172" s="218"/>
      <c r="B172" s="572" t="s">
        <v>500</v>
      </c>
      <c r="C172" s="398"/>
      <c r="D172" s="389">
        <v>2.5499999999999998</v>
      </c>
      <c r="E172" s="389"/>
      <c r="F172" s="389">
        <v>3.94</v>
      </c>
      <c r="G172" s="390">
        <v>1</v>
      </c>
      <c r="H172" s="389">
        <f t="shared" si="12"/>
        <v>10.046999999999999</v>
      </c>
      <c r="I172" s="483"/>
      <c r="J172" s="399"/>
      <c r="K172" s="399" t="s">
        <v>3</v>
      </c>
      <c r="L172" s="389">
        <f t="shared" si="15"/>
        <v>10.046999999999999</v>
      </c>
    </row>
    <row r="173" spans="1:12" ht="13.8" x14ac:dyDescent="0.25">
      <c r="A173" s="218"/>
      <c r="B173" s="572" t="s">
        <v>503</v>
      </c>
      <c r="C173" s="398"/>
      <c r="D173" s="389">
        <v>2.8</v>
      </c>
      <c r="E173" s="389"/>
      <c r="F173" s="389">
        <v>3.94</v>
      </c>
      <c r="G173" s="390">
        <v>1</v>
      </c>
      <c r="H173" s="389">
        <f t="shared" si="12"/>
        <v>11.032</v>
      </c>
      <c r="I173" s="483"/>
      <c r="J173" s="399"/>
      <c r="K173" s="399" t="s">
        <v>3</v>
      </c>
      <c r="L173" s="389">
        <f t="shared" si="15"/>
        <v>11.032</v>
      </c>
    </row>
    <row r="174" spans="1:12" ht="13.8" x14ac:dyDescent="0.25">
      <c r="A174" s="218"/>
      <c r="B174" s="572" t="s">
        <v>511</v>
      </c>
      <c r="C174" s="398"/>
      <c r="D174" s="389">
        <v>2.0499999999999998</v>
      </c>
      <c r="E174" s="389"/>
      <c r="F174" s="389">
        <v>3.94</v>
      </c>
      <c r="G174" s="390">
        <v>1</v>
      </c>
      <c r="H174" s="389">
        <f t="shared" si="12"/>
        <v>8.077</v>
      </c>
      <c r="I174" s="483"/>
      <c r="J174" s="399"/>
      <c r="K174" s="399" t="s">
        <v>3</v>
      </c>
      <c r="L174" s="389">
        <f t="shared" si="15"/>
        <v>8.077</v>
      </c>
    </row>
    <row r="175" spans="1:12" ht="13.8" x14ac:dyDescent="0.25">
      <c r="A175" s="218"/>
      <c r="B175" s="572" t="s">
        <v>516</v>
      </c>
      <c r="C175" s="398"/>
      <c r="D175" s="389">
        <v>0.47</v>
      </c>
      <c r="E175" s="389"/>
      <c r="F175" s="389">
        <v>3.94</v>
      </c>
      <c r="G175" s="390">
        <v>1</v>
      </c>
      <c r="H175" s="389">
        <f t="shared" si="12"/>
        <v>1.8517999999999999</v>
      </c>
      <c r="I175" s="483"/>
      <c r="J175" s="399"/>
      <c r="K175" s="399" t="s">
        <v>3</v>
      </c>
      <c r="L175" s="389">
        <f t="shared" si="15"/>
        <v>1.8517999999999999</v>
      </c>
    </row>
    <row r="176" spans="1:12" ht="13.8" x14ac:dyDescent="0.25">
      <c r="A176" s="218"/>
      <c r="B176" s="572" t="s">
        <v>517</v>
      </c>
      <c r="C176" s="398"/>
      <c r="D176" s="389">
        <v>9.94</v>
      </c>
      <c r="E176" s="389"/>
      <c r="F176" s="389">
        <v>3.94</v>
      </c>
      <c r="G176" s="390">
        <v>1</v>
      </c>
      <c r="H176" s="389">
        <f t="shared" si="12"/>
        <v>39.163599999999995</v>
      </c>
      <c r="I176" s="483"/>
      <c r="J176" s="399"/>
      <c r="K176" s="399" t="s">
        <v>3</v>
      </c>
      <c r="L176" s="389">
        <f t="shared" si="15"/>
        <v>39.163599999999995</v>
      </c>
    </row>
    <row r="177" spans="1:12" ht="13.8" x14ac:dyDescent="0.25">
      <c r="A177" s="218"/>
      <c r="B177" s="572" t="s">
        <v>520</v>
      </c>
      <c r="C177" s="398"/>
      <c r="D177" s="389">
        <v>3.84</v>
      </c>
      <c r="E177" s="389"/>
      <c r="F177" s="389">
        <v>3.94</v>
      </c>
      <c r="G177" s="390">
        <v>1</v>
      </c>
      <c r="H177" s="389">
        <f t="shared" si="12"/>
        <v>15.1296</v>
      </c>
      <c r="I177" s="483"/>
      <c r="J177" s="399"/>
      <c r="K177" s="399" t="s">
        <v>3</v>
      </c>
      <c r="L177" s="389">
        <f t="shared" si="15"/>
        <v>15.1296</v>
      </c>
    </row>
    <row r="178" spans="1:12" ht="13.8" x14ac:dyDescent="0.25">
      <c r="A178" s="218"/>
      <c r="B178" s="572" t="s">
        <v>521</v>
      </c>
      <c r="C178" s="398"/>
      <c r="D178" s="389">
        <v>26.96</v>
      </c>
      <c r="E178" s="389"/>
      <c r="F178" s="389">
        <v>3.94</v>
      </c>
      <c r="G178" s="390">
        <v>1</v>
      </c>
      <c r="H178" s="389">
        <f t="shared" si="12"/>
        <v>106.22240000000001</v>
      </c>
      <c r="I178" s="483"/>
      <c r="J178" s="399"/>
      <c r="K178" s="399" t="s">
        <v>3</v>
      </c>
      <c r="L178" s="389">
        <f t="shared" si="15"/>
        <v>106.22240000000001</v>
      </c>
    </row>
    <row r="179" spans="1:12" ht="13.8" x14ac:dyDescent="0.25">
      <c r="A179" s="218"/>
      <c r="B179" s="572" t="s">
        <v>523</v>
      </c>
      <c r="C179" s="398"/>
      <c r="D179" s="389">
        <v>0.66</v>
      </c>
      <c r="E179" s="389"/>
      <c r="F179" s="389">
        <v>3.94</v>
      </c>
      <c r="G179" s="390">
        <v>1</v>
      </c>
      <c r="H179" s="389">
        <f t="shared" si="12"/>
        <v>2.6004</v>
      </c>
      <c r="I179" s="483"/>
      <c r="J179" s="399"/>
      <c r="K179" s="399" t="s">
        <v>3</v>
      </c>
      <c r="L179" s="389">
        <f t="shared" si="15"/>
        <v>2.6004</v>
      </c>
    </row>
    <row r="180" spans="1:12" ht="13.8" x14ac:dyDescent="0.25">
      <c r="A180" s="218"/>
      <c r="B180" s="572" t="s">
        <v>525</v>
      </c>
      <c r="C180" s="398"/>
      <c r="D180" s="389">
        <v>3.15</v>
      </c>
      <c r="E180" s="389"/>
      <c r="F180" s="389">
        <v>3.94</v>
      </c>
      <c r="G180" s="390">
        <v>1</v>
      </c>
      <c r="H180" s="389">
        <f t="shared" si="12"/>
        <v>12.411</v>
      </c>
      <c r="I180" s="483"/>
      <c r="J180" s="399"/>
      <c r="K180" s="399" t="s">
        <v>3</v>
      </c>
      <c r="L180" s="389">
        <f t="shared" si="15"/>
        <v>12.411</v>
      </c>
    </row>
    <row r="181" spans="1:12" ht="13.8" x14ac:dyDescent="0.25">
      <c r="A181" s="218"/>
      <c r="B181" s="572" t="s">
        <v>526</v>
      </c>
      <c r="C181" s="398"/>
      <c r="D181" s="389">
        <v>1.67</v>
      </c>
      <c r="E181" s="389"/>
      <c r="F181" s="389">
        <v>3.94</v>
      </c>
      <c r="G181" s="390">
        <v>1</v>
      </c>
      <c r="H181" s="389">
        <f t="shared" si="12"/>
        <v>6.5797999999999996</v>
      </c>
      <c r="I181" s="483"/>
      <c r="J181" s="399"/>
      <c r="K181" s="399" t="s">
        <v>3</v>
      </c>
      <c r="L181" s="389">
        <f t="shared" si="15"/>
        <v>6.5797999999999996</v>
      </c>
    </row>
    <row r="182" spans="1:12" ht="13.8" x14ac:dyDescent="0.25">
      <c r="A182" s="218"/>
      <c r="B182" s="572" t="s">
        <v>528</v>
      </c>
      <c r="C182" s="398"/>
      <c r="D182" s="389">
        <v>1.8</v>
      </c>
      <c r="E182" s="389"/>
      <c r="F182" s="389">
        <v>3.94</v>
      </c>
      <c r="G182" s="390">
        <v>1</v>
      </c>
      <c r="H182" s="389">
        <f t="shared" si="12"/>
        <v>7.0919999999999996</v>
      </c>
      <c r="I182" s="483"/>
      <c r="J182" s="399"/>
      <c r="K182" s="399" t="s">
        <v>3</v>
      </c>
      <c r="L182" s="389">
        <f t="shared" si="15"/>
        <v>7.0919999999999996</v>
      </c>
    </row>
    <row r="183" spans="1:12" ht="13.8" x14ac:dyDescent="0.25">
      <c r="A183" s="218"/>
      <c r="B183" s="572" t="s">
        <v>529</v>
      </c>
      <c r="C183" s="398"/>
      <c r="D183" s="389">
        <v>1.05</v>
      </c>
      <c r="E183" s="389"/>
      <c r="F183" s="389">
        <v>3.94</v>
      </c>
      <c r="G183" s="390">
        <v>1</v>
      </c>
      <c r="H183" s="389">
        <f t="shared" si="12"/>
        <v>4.1370000000000005</v>
      </c>
      <c r="I183" s="483"/>
      <c r="J183" s="399"/>
      <c r="K183" s="399" t="s">
        <v>3</v>
      </c>
      <c r="L183" s="389">
        <f t="shared" si="15"/>
        <v>4.1370000000000005</v>
      </c>
    </row>
    <row r="184" spans="1:12" ht="13.8" x14ac:dyDescent="0.25">
      <c r="A184" s="218"/>
      <c r="B184" s="572" t="s">
        <v>530</v>
      </c>
      <c r="C184" s="398"/>
      <c r="D184" s="389">
        <v>2.5</v>
      </c>
      <c r="E184" s="389"/>
      <c r="F184" s="389">
        <v>3.94</v>
      </c>
      <c r="G184" s="390">
        <v>1</v>
      </c>
      <c r="H184" s="389">
        <f t="shared" si="12"/>
        <v>9.85</v>
      </c>
      <c r="I184" s="483"/>
      <c r="J184" s="399"/>
      <c r="K184" s="399" t="s">
        <v>3</v>
      </c>
      <c r="L184" s="389">
        <f t="shared" si="15"/>
        <v>9.85</v>
      </c>
    </row>
    <row r="185" spans="1:12" ht="13.8" x14ac:dyDescent="0.25">
      <c r="A185" s="218"/>
      <c r="B185" s="572" t="s">
        <v>531</v>
      </c>
      <c r="C185" s="398"/>
      <c r="D185" s="389">
        <v>6.41</v>
      </c>
      <c r="E185" s="389"/>
      <c r="F185" s="389">
        <v>3.94</v>
      </c>
      <c r="G185" s="390">
        <v>6</v>
      </c>
      <c r="H185" s="389">
        <f t="shared" si="12"/>
        <v>151.5324</v>
      </c>
      <c r="I185" s="483"/>
      <c r="J185" s="399"/>
      <c r="K185" s="399" t="s">
        <v>3</v>
      </c>
      <c r="L185" s="389">
        <f t="shared" si="15"/>
        <v>151.5324</v>
      </c>
    </row>
    <row r="186" spans="1:12" ht="13.8" x14ac:dyDescent="0.25">
      <c r="A186" s="218"/>
      <c r="B186" s="572" t="s">
        <v>532</v>
      </c>
      <c r="C186" s="398"/>
      <c r="D186" s="389">
        <v>5.21</v>
      </c>
      <c r="E186" s="389"/>
      <c r="F186" s="389">
        <v>3.94</v>
      </c>
      <c r="G186" s="390">
        <v>1</v>
      </c>
      <c r="H186" s="389">
        <f t="shared" si="12"/>
        <v>20.5274</v>
      </c>
      <c r="I186" s="483"/>
      <c r="J186" s="399"/>
      <c r="K186" s="399" t="s">
        <v>3</v>
      </c>
      <c r="L186" s="389">
        <f t="shared" si="15"/>
        <v>20.5274</v>
      </c>
    </row>
    <row r="187" spans="1:12" ht="13.8" x14ac:dyDescent="0.25">
      <c r="A187" s="218"/>
      <c r="B187" s="572" t="s">
        <v>533</v>
      </c>
      <c r="C187" s="398"/>
      <c r="D187" s="389">
        <v>4.91</v>
      </c>
      <c r="E187" s="389"/>
      <c r="F187" s="389">
        <v>3.94</v>
      </c>
      <c r="G187" s="390">
        <v>1</v>
      </c>
      <c r="H187" s="389">
        <f t="shared" si="12"/>
        <v>19.345400000000001</v>
      </c>
      <c r="I187" s="483"/>
      <c r="J187" s="399"/>
      <c r="K187" s="399" t="s">
        <v>3</v>
      </c>
      <c r="L187" s="389">
        <f t="shared" si="15"/>
        <v>19.345400000000001</v>
      </c>
    </row>
    <row r="188" spans="1:12" ht="13.8" x14ac:dyDescent="0.25">
      <c r="A188" s="218"/>
      <c r="B188" s="572" t="s">
        <v>537</v>
      </c>
      <c r="C188" s="398"/>
      <c r="D188" s="389">
        <v>1.2</v>
      </c>
      <c r="E188" s="389"/>
      <c r="F188" s="389">
        <v>3.94</v>
      </c>
      <c r="G188" s="390">
        <v>1</v>
      </c>
      <c r="H188" s="389">
        <f t="shared" si="12"/>
        <v>4.7279999999999998</v>
      </c>
      <c r="I188" s="483"/>
      <c r="J188" s="399"/>
      <c r="K188" s="399" t="s">
        <v>3</v>
      </c>
      <c r="L188" s="389">
        <f t="shared" si="15"/>
        <v>4.7279999999999998</v>
      </c>
    </row>
    <row r="189" spans="1:12" ht="13.8" x14ac:dyDescent="0.25">
      <c r="A189" s="218"/>
      <c r="B189" s="572" t="s">
        <v>540</v>
      </c>
      <c r="C189" s="398"/>
      <c r="D189" s="389">
        <v>1.93</v>
      </c>
      <c r="E189" s="389"/>
      <c r="F189" s="389">
        <v>3.94</v>
      </c>
      <c r="G189" s="390">
        <v>1</v>
      </c>
      <c r="H189" s="389">
        <f t="shared" si="12"/>
        <v>7.6041999999999996</v>
      </c>
      <c r="I189" s="483"/>
      <c r="J189" s="399"/>
      <c r="K189" s="399" t="s">
        <v>3</v>
      </c>
      <c r="L189" s="389">
        <f t="shared" si="15"/>
        <v>7.6041999999999996</v>
      </c>
    </row>
    <row r="190" spans="1:12" ht="13.8" x14ac:dyDescent="0.25">
      <c r="A190" s="218"/>
      <c r="B190" s="572" t="s">
        <v>542</v>
      </c>
      <c r="C190" s="398"/>
      <c r="D190" s="389">
        <v>0.51</v>
      </c>
      <c r="E190" s="389"/>
      <c r="F190" s="389">
        <v>3.94</v>
      </c>
      <c r="G190" s="390">
        <v>1</v>
      </c>
      <c r="H190" s="389">
        <f t="shared" si="12"/>
        <v>2.0093999999999999</v>
      </c>
      <c r="I190" s="483"/>
      <c r="J190" s="399"/>
      <c r="K190" s="399" t="s">
        <v>3</v>
      </c>
      <c r="L190" s="389">
        <f t="shared" si="15"/>
        <v>2.0093999999999999</v>
      </c>
    </row>
    <row r="191" spans="1:12" ht="13.8" x14ac:dyDescent="0.25">
      <c r="A191" s="218"/>
      <c r="B191" s="572" t="s">
        <v>543</v>
      </c>
      <c r="C191" s="398"/>
      <c r="D191" s="389">
        <v>6.38</v>
      </c>
      <c r="E191" s="389"/>
      <c r="F191" s="389">
        <v>3.94</v>
      </c>
      <c r="G191" s="390">
        <v>1</v>
      </c>
      <c r="H191" s="389">
        <f t="shared" si="12"/>
        <v>8.4971999999999994</v>
      </c>
      <c r="I191" s="483">
        <v>16.64</v>
      </c>
      <c r="J191" s="399"/>
      <c r="K191" s="399" t="s">
        <v>3</v>
      </c>
      <c r="L191" s="389">
        <f t="shared" si="15"/>
        <v>8.4971999999999994</v>
      </c>
    </row>
    <row r="192" spans="1:12" ht="13.8" x14ac:dyDescent="0.25">
      <c r="A192" s="218"/>
      <c r="B192" s="572" t="s">
        <v>547</v>
      </c>
      <c r="C192" s="398"/>
      <c r="D192" s="389">
        <v>3.6</v>
      </c>
      <c r="E192" s="389"/>
      <c r="F192" s="389">
        <v>3.94</v>
      </c>
      <c r="G192" s="390">
        <v>1</v>
      </c>
      <c r="H192" s="389">
        <f t="shared" si="12"/>
        <v>14.183999999999999</v>
      </c>
      <c r="I192" s="483"/>
      <c r="J192" s="399"/>
      <c r="K192" s="399" t="s">
        <v>3</v>
      </c>
      <c r="L192" s="389">
        <f t="shared" si="15"/>
        <v>14.183999999999999</v>
      </c>
    </row>
    <row r="193" spans="1:12" ht="13.8" x14ac:dyDescent="0.25">
      <c r="A193" s="218"/>
      <c r="B193" s="572" t="s">
        <v>548</v>
      </c>
      <c r="C193" s="398"/>
      <c r="D193" s="389">
        <v>2.2000000000000002</v>
      </c>
      <c r="E193" s="389"/>
      <c r="F193" s="389">
        <v>3.94</v>
      </c>
      <c r="G193" s="390">
        <v>1</v>
      </c>
      <c r="H193" s="389">
        <f t="shared" si="12"/>
        <v>8.668000000000001</v>
      </c>
      <c r="I193" s="483"/>
      <c r="J193" s="399"/>
      <c r="K193" s="399" t="s">
        <v>3</v>
      </c>
      <c r="L193" s="389">
        <f t="shared" si="15"/>
        <v>8.668000000000001</v>
      </c>
    </row>
    <row r="194" spans="1:12" ht="13.8" x14ac:dyDescent="0.25">
      <c r="A194" s="218"/>
      <c r="B194" s="572" t="s">
        <v>549</v>
      </c>
      <c r="C194" s="398"/>
      <c r="D194" s="389">
        <v>2.86</v>
      </c>
      <c r="E194" s="389"/>
      <c r="F194" s="389">
        <v>3.94</v>
      </c>
      <c r="G194" s="390">
        <v>1</v>
      </c>
      <c r="H194" s="389">
        <f t="shared" si="12"/>
        <v>11.2684</v>
      </c>
      <c r="I194" s="483"/>
      <c r="J194" s="399"/>
      <c r="K194" s="399" t="s">
        <v>3</v>
      </c>
      <c r="L194" s="389">
        <f t="shared" si="15"/>
        <v>11.2684</v>
      </c>
    </row>
    <row r="195" spans="1:12" ht="13.8" x14ac:dyDescent="0.25">
      <c r="A195" s="218"/>
      <c r="B195" s="572" t="s">
        <v>550</v>
      </c>
      <c r="C195" s="398"/>
      <c r="D195" s="389">
        <v>1.8</v>
      </c>
      <c r="E195" s="389"/>
      <c r="F195" s="389">
        <v>3.94</v>
      </c>
      <c r="G195" s="390">
        <v>1</v>
      </c>
      <c r="H195" s="389">
        <f t="shared" si="12"/>
        <v>7.0919999999999996</v>
      </c>
      <c r="I195" s="483"/>
      <c r="J195" s="399"/>
      <c r="K195" s="399" t="s">
        <v>3</v>
      </c>
      <c r="L195" s="389">
        <f t="shared" si="15"/>
        <v>7.0919999999999996</v>
      </c>
    </row>
    <row r="196" spans="1:12" ht="13.8" x14ac:dyDescent="0.25">
      <c r="A196" s="218"/>
      <c r="B196" s="572" t="s">
        <v>551</v>
      </c>
      <c r="C196" s="398"/>
      <c r="D196" s="389">
        <v>3.55</v>
      </c>
      <c r="E196" s="389"/>
      <c r="F196" s="389">
        <v>3.94</v>
      </c>
      <c r="G196" s="390">
        <v>1</v>
      </c>
      <c r="H196" s="389">
        <f t="shared" si="12"/>
        <v>13.986999999999998</v>
      </c>
      <c r="I196" s="483"/>
      <c r="J196" s="399"/>
      <c r="K196" s="399" t="s">
        <v>3</v>
      </c>
      <c r="L196" s="389">
        <f t="shared" si="15"/>
        <v>13.986999999999998</v>
      </c>
    </row>
    <row r="197" spans="1:12" ht="13.8" x14ac:dyDescent="0.25">
      <c r="A197" s="218"/>
      <c r="B197" s="572" t="s">
        <v>552</v>
      </c>
      <c r="C197" s="398"/>
      <c r="D197" s="389">
        <v>3.91</v>
      </c>
      <c r="E197" s="389"/>
      <c r="F197" s="389">
        <v>3.94</v>
      </c>
      <c r="G197" s="390">
        <v>2</v>
      </c>
      <c r="H197" s="389">
        <f t="shared" si="12"/>
        <v>30.8108</v>
      </c>
      <c r="I197" s="483"/>
      <c r="J197" s="399"/>
      <c r="K197" s="399" t="s">
        <v>3</v>
      </c>
      <c r="L197" s="389">
        <f t="shared" si="15"/>
        <v>30.8108</v>
      </c>
    </row>
    <row r="198" spans="1:12" ht="13.8" x14ac:dyDescent="0.25">
      <c r="A198" s="218"/>
      <c r="B198" s="572" t="s">
        <v>555</v>
      </c>
      <c r="C198" s="398"/>
      <c r="D198" s="389">
        <v>6.91</v>
      </c>
      <c r="E198" s="389"/>
      <c r="F198" s="389">
        <v>3.94</v>
      </c>
      <c r="G198" s="390">
        <v>1</v>
      </c>
      <c r="H198" s="389">
        <f t="shared" si="12"/>
        <v>27.2254</v>
      </c>
      <c r="I198" s="483"/>
      <c r="J198" s="399"/>
      <c r="K198" s="399" t="s">
        <v>3</v>
      </c>
      <c r="L198" s="389">
        <f t="shared" si="15"/>
        <v>27.2254</v>
      </c>
    </row>
    <row r="199" spans="1:12" ht="13.8" x14ac:dyDescent="0.25">
      <c r="A199" s="218"/>
      <c r="B199" s="572" t="s">
        <v>556</v>
      </c>
      <c r="C199" s="398"/>
      <c r="D199" s="389">
        <v>0.9</v>
      </c>
      <c r="E199" s="389"/>
      <c r="F199" s="389">
        <v>3.94</v>
      </c>
      <c r="G199" s="390">
        <v>2</v>
      </c>
      <c r="H199" s="389">
        <f t="shared" si="12"/>
        <v>7.0919999999999996</v>
      </c>
      <c r="I199" s="483"/>
      <c r="J199" s="399"/>
      <c r="K199" s="399" t="s">
        <v>3</v>
      </c>
      <c r="L199" s="389">
        <f t="shared" si="15"/>
        <v>7.0919999999999996</v>
      </c>
    </row>
    <row r="200" spans="1:12" ht="13.8" x14ac:dyDescent="0.25">
      <c r="A200" s="218"/>
      <c r="B200" s="572" t="s">
        <v>557</v>
      </c>
      <c r="C200" s="398"/>
      <c r="D200" s="389">
        <v>1.95</v>
      </c>
      <c r="E200" s="389"/>
      <c r="F200" s="389">
        <v>3.94</v>
      </c>
      <c r="G200" s="390">
        <v>1</v>
      </c>
      <c r="H200" s="389">
        <f t="shared" si="12"/>
        <v>7.6829999999999998</v>
      </c>
      <c r="I200" s="483"/>
      <c r="J200" s="399"/>
      <c r="K200" s="399" t="s">
        <v>3</v>
      </c>
      <c r="L200" s="389">
        <f t="shared" si="15"/>
        <v>7.6829999999999998</v>
      </c>
    </row>
    <row r="201" spans="1:12" ht="13.8" x14ac:dyDescent="0.25">
      <c r="A201" s="218"/>
      <c r="B201" s="572" t="s">
        <v>558</v>
      </c>
      <c r="C201" s="398"/>
      <c r="D201" s="389">
        <v>5.66</v>
      </c>
      <c r="E201" s="389"/>
      <c r="F201" s="389">
        <v>3.94</v>
      </c>
      <c r="G201" s="390">
        <v>1</v>
      </c>
      <c r="H201" s="389">
        <f t="shared" si="12"/>
        <v>22.3004</v>
      </c>
      <c r="I201" s="483"/>
      <c r="J201" s="399"/>
      <c r="K201" s="399" t="s">
        <v>3</v>
      </c>
      <c r="L201" s="389">
        <f t="shared" si="15"/>
        <v>22.3004</v>
      </c>
    </row>
    <row r="202" spans="1:12" ht="13.8" x14ac:dyDescent="0.25">
      <c r="A202" s="218"/>
      <c r="B202" s="572" t="s">
        <v>559</v>
      </c>
      <c r="C202" s="398"/>
      <c r="D202" s="389">
        <v>2</v>
      </c>
      <c r="E202" s="389"/>
      <c r="F202" s="389">
        <v>3.94</v>
      </c>
      <c r="G202" s="390">
        <v>1</v>
      </c>
      <c r="H202" s="389">
        <f t="shared" si="12"/>
        <v>4.5199999999999996</v>
      </c>
      <c r="I202" s="483">
        <v>3.36</v>
      </c>
      <c r="J202" s="399"/>
      <c r="K202" s="399" t="s">
        <v>3</v>
      </c>
      <c r="L202" s="389">
        <f t="shared" si="15"/>
        <v>4.5199999999999996</v>
      </c>
    </row>
    <row r="203" spans="1:12" ht="13.8" x14ac:dyDescent="0.25">
      <c r="A203" s="218"/>
      <c r="B203" s="572" t="s">
        <v>560</v>
      </c>
      <c r="C203" s="398"/>
      <c r="D203" s="389">
        <v>3.72</v>
      </c>
      <c r="E203" s="389"/>
      <c r="F203" s="389">
        <v>3.94</v>
      </c>
      <c r="G203" s="390">
        <v>1</v>
      </c>
      <c r="H203" s="389">
        <f t="shared" si="12"/>
        <v>14.6568</v>
      </c>
      <c r="I203" s="483"/>
      <c r="J203" s="399"/>
      <c r="K203" s="399" t="s">
        <v>3</v>
      </c>
      <c r="L203" s="389">
        <f t="shared" si="15"/>
        <v>14.6568</v>
      </c>
    </row>
    <row r="204" spans="1:12" ht="13.8" x14ac:dyDescent="0.25">
      <c r="A204" s="218"/>
      <c r="B204" s="573" t="s">
        <v>600</v>
      </c>
      <c r="C204" s="398"/>
      <c r="D204" s="389">
        <v>2.27</v>
      </c>
      <c r="E204" s="389"/>
      <c r="F204" s="389">
        <v>3.94</v>
      </c>
      <c r="G204" s="390">
        <v>2</v>
      </c>
      <c r="H204" s="389">
        <f t="shared" si="12"/>
        <v>10.747599999999998</v>
      </c>
      <c r="I204" s="483">
        <v>7.14</v>
      </c>
      <c r="J204" s="399"/>
      <c r="K204" s="399" t="s">
        <v>3</v>
      </c>
      <c r="L204" s="389">
        <f t="shared" si="15"/>
        <v>10.747599999999998</v>
      </c>
    </row>
    <row r="205" spans="1:12" ht="14.4" x14ac:dyDescent="0.25">
      <c r="A205" s="224"/>
      <c r="B205" s="391" t="s">
        <v>563</v>
      </c>
      <c r="C205" s="205"/>
      <c r="D205" s="392">
        <f>SUM(D156:D204)</f>
        <v>182.64999999999998</v>
      </c>
      <c r="E205" s="401"/>
      <c r="F205" s="393"/>
      <c r="G205" s="394"/>
      <c r="H205" s="395"/>
      <c r="I205" s="395"/>
      <c r="J205" s="395"/>
      <c r="K205" s="396" t="s">
        <v>3</v>
      </c>
      <c r="L205" s="397">
        <f>SUM(L156:L204)</f>
        <v>825.14319999999975</v>
      </c>
    </row>
    <row r="206" spans="1:12" ht="14.4" x14ac:dyDescent="0.25">
      <c r="A206" s="224"/>
      <c r="B206" s="822" t="s">
        <v>1</v>
      </c>
      <c r="C206" s="55" t="s">
        <v>0</v>
      </c>
      <c r="D206" s="52" t="s">
        <v>12</v>
      </c>
      <c r="E206" s="52" t="s">
        <v>4</v>
      </c>
      <c r="F206" s="52" t="s">
        <v>2</v>
      </c>
      <c r="G206" s="52" t="s">
        <v>6</v>
      </c>
      <c r="H206" s="148" t="s">
        <v>5</v>
      </c>
      <c r="I206" s="56" t="s">
        <v>13</v>
      </c>
      <c r="J206" s="148" t="s">
        <v>14</v>
      </c>
      <c r="K206" s="822" t="s">
        <v>7</v>
      </c>
      <c r="L206" s="824" t="s">
        <v>8</v>
      </c>
    </row>
    <row r="207" spans="1:12" ht="14.4" x14ac:dyDescent="0.3">
      <c r="A207" s="224"/>
      <c r="B207" s="823"/>
      <c r="C207" s="80" t="s">
        <v>9</v>
      </c>
      <c r="D207" s="81" t="s">
        <v>10</v>
      </c>
      <c r="E207" s="81" t="s">
        <v>10</v>
      </c>
      <c r="F207" s="81" t="s">
        <v>10</v>
      </c>
      <c r="G207" s="80" t="s">
        <v>9</v>
      </c>
      <c r="H207" s="82" t="s">
        <v>11</v>
      </c>
      <c r="I207" s="113" t="s">
        <v>11</v>
      </c>
      <c r="J207" s="82" t="s">
        <v>15</v>
      </c>
      <c r="K207" s="823"/>
      <c r="L207" s="825"/>
    </row>
    <row r="208" spans="1:12" ht="14.4" x14ac:dyDescent="0.3">
      <c r="A208" s="224"/>
      <c r="B208" s="20" t="s">
        <v>701</v>
      </c>
      <c r="C208" s="381"/>
      <c r="D208" s="382"/>
      <c r="E208" s="382"/>
      <c r="F208" s="382"/>
      <c r="G208" s="381"/>
      <c r="H208" s="383"/>
      <c r="I208" s="384"/>
      <c r="J208" s="383"/>
      <c r="K208" s="383"/>
      <c r="L208" s="7"/>
    </row>
    <row r="209" spans="1:12" ht="14.4" x14ac:dyDescent="0.25">
      <c r="A209" s="218"/>
      <c r="B209" s="157" t="s">
        <v>488</v>
      </c>
      <c r="C209" s="11"/>
      <c r="D209" s="16">
        <v>3.26</v>
      </c>
      <c r="E209" s="479"/>
      <c r="F209" s="16">
        <v>3.94</v>
      </c>
      <c r="G209" s="478">
        <v>1</v>
      </c>
      <c r="H209" s="389">
        <f t="shared" ref="H209:H243" si="16">D209*F209*G209-I209</f>
        <v>11.044399999999998</v>
      </c>
      <c r="I209" s="92">
        <v>1.8</v>
      </c>
      <c r="J209" s="17"/>
      <c r="K209" s="50" t="s">
        <v>3</v>
      </c>
      <c r="L209" s="389">
        <f t="shared" ref="L209:L243" si="17">H209</f>
        <v>11.044399999999998</v>
      </c>
    </row>
    <row r="210" spans="1:12" ht="14.4" x14ac:dyDescent="0.25">
      <c r="A210" s="218"/>
      <c r="B210" s="157" t="s">
        <v>489</v>
      </c>
      <c r="C210" s="11"/>
      <c r="D210" s="16">
        <v>2.37</v>
      </c>
      <c r="E210" s="479"/>
      <c r="F210" s="16">
        <v>3.94</v>
      </c>
      <c r="G210" s="478">
        <v>1</v>
      </c>
      <c r="H210" s="389">
        <f t="shared" si="16"/>
        <v>9.3377999999999997</v>
      </c>
      <c r="I210" s="92"/>
      <c r="J210" s="17"/>
      <c r="K210" s="50" t="s">
        <v>3</v>
      </c>
      <c r="L210" s="389">
        <f t="shared" si="17"/>
        <v>9.3377999999999997</v>
      </c>
    </row>
    <row r="211" spans="1:12" ht="14.4" x14ac:dyDescent="0.25">
      <c r="A211" s="218"/>
      <c r="B211" s="157" t="s">
        <v>490</v>
      </c>
      <c r="C211" s="11"/>
      <c r="D211" s="16">
        <v>1.55</v>
      </c>
      <c r="E211" s="479"/>
      <c r="F211" s="16">
        <v>3.94</v>
      </c>
      <c r="G211" s="478">
        <v>1</v>
      </c>
      <c r="H211" s="389">
        <f t="shared" si="16"/>
        <v>6.1070000000000002</v>
      </c>
      <c r="I211" s="92"/>
      <c r="J211" s="17"/>
      <c r="K211" s="50" t="s">
        <v>3</v>
      </c>
      <c r="L211" s="389">
        <f t="shared" si="17"/>
        <v>6.1070000000000002</v>
      </c>
    </row>
    <row r="212" spans="1:12" ht="14.4" x14ac:dyDescent="0.25">
      <c r="A212" s="218"/>
      <c r="B212" s="157" t="s">
        <v>491</v>
      </c>
      <c r="C212" s="11"/>
      <c r="D212" s="16">
        <v>2.2000000000000002</v>
      </c>
      <c r="E212" s="479"/>
      <c r="F212" s="16">
        <v>3.94</v>
      </c>
      <c r="G212" s="478">
        <v>2</v>
      </c>
      <c r="H212" s="389">
        <f t="shared" si="16"/>
        <v>17.336000000000002</v>
      </c>
      <c r="I212" s="92"/>
      <c r="J212" s="17"/>
      <c r="K212" s="50" t="s">
        <v>3</v>
      </c>
      <c r="L212" s="389">
        <f t="shared" si="17"/>
        <v>17.336000000000002</v>
      </c>
    </row>
    <row r="213" spans="1:12" ht="14.4" x14ac:dyDescent="0.25">
      <c r="A213" s="218"/>
      <c r="B213" s="157" t="s">
        <v>493</v>
      </c>
      <c r="C213" s="11"/>
      <c r="D213" s="16">
        <v>5.62</v>
      </c>
      <c r="E213" s="479"/>
      <c r="F213" s="16">
        <v>3.94</v>
      </c>
      <c r="G213" s="478">
        <v>1</v>
      </c>
      <c r="H213" s="389">
        <f t="shared" si="16"/>
        <v>22.142800000000001</v>
      </c>
      <c r="I213" s="92"/>
      <c r="J213" s="17"/>
      <c r="K213" s="50" t="s">
        <v>3</v>
      </c>
      <c r="L213" s="389">
        <f t="shared" si="17"/>
        <v>22.142800000000001</v>
      </c>
    </row>
    <row r="214" spans="1:12" ht="14.4" x14ac:dyDescent="0.25">
      <c r="A214" s="218"/>
      <c r="B214" s="157" t="s">
        <v>495</v>
      </c>
      <c r="C214" s="11"/>
      <c r="D214" s="16">
        <v>2.0099999999999998</v>
      </c>
      <c r="E214" s="479"/>
      <c r="F214" s="16">
        <v>3.94</v>
      </c>
      <c r="G214" s="478">
        <v>2</v>
      </c>
      <c r="H214" s="389">
        <f t="shared" si="16"/>
        <v>15.838799999999997</v>
      </c>
      <c r="I214" s="92"/>
      <c r="J214" s="17"/>
      <c r="K214" s="50" t="s">
        <v>3</v>
      </c>
      <c r="L214" s="389">
        <f t="shared" si="17"/>
        <v>15.838799999999997</v>
      </c>
    </row>
    <row r="215" spans="1:12" ht="14.4" x14ac:dyDescent="0.25">
      <c r="A215" s="218"/>
      <c r="B215" s="157" t="s">
        <v>496</v>
      </c>
      <c r="C215" s="11"/>
      <c r="D215" s="16">
        <v>2.16</v>
      </c>
      <c r="E215" s="479"/>
      <c r="F215" s="16">
        <v>3.94</v>
      </c>
      <c r="G215" s="478">
        <v>1</v>
      </c>
      <c r="H215" s="389">
        <f t="shared" si="16"/>
        <v>8.5104000000000006</v>
      </c>
      <c r="I215" s="92"/>
      <c r="J215" s="17"/>
      <c r="K215" s="50" t="s">
        <v>3</v>
      </c>
      <c r="L215" s="389">
        <f t="shared" si="17"/>
        <v>8.5104000000000006</v>
      </c>
    </row>
    <row r="216" spans="1:12" ht="14.4" x14ac:dyDescent="0.25">
      <c r="A216" s="218"/>
      <c r="B216" s="157" t="s">
        <v>497</v>
      </c>
      <c r="C216" s="11"/>
      <c r="D216" s="16">
        <v>2.15</v>
      </c>
      <c r="E216" s="479"/>
      <c r="F216" s="16">
        <v>3.94</v>
      </c>
      <c r="G216" s="478">
        <v>1</v>
      </c>
      <c r="H216" s="389">
        <f t="shared" si="16"/>
        <v>8.4710000000000001</v>
      </c>
      <c r="I216" s="92"/>
      <c r="J216" s="17"/>
      <c r="K216" s="50" t="s">
        <v>3</v>
      </c>
      <c r="L216" s="389">
        <f t="shared" si="17"/>
        <v>8.4710000000000001</v>
      </c>
    </row>
    <row r="217" spans="1:12" ht="14.4" x14ac:dyDescent="0.25">
      <c r="A217" s="218"/>
      <c r="B217" s="157" t="s">
        <v>498</v>
      </c>
      <c r="C217" s="11"/>
      <c r="D217" s="16">
        <v>2.5</v>
      </c>
      <c r="E217" s="479"/>
      <c r="F217" s="16">
        <v>3.94</v>
      </c>
      <c r="G217" s="478">
        <v>2</v>
      </c>
      <c r="H217" s="389">
        <f t="shared" si="16"/>
        <v>19.7</v>
      </c>
      <c r="I217" s="92"/>
      <c r="J217" s="17"/>
      <c r="K217" s="50" t="s">
        <v>3</v>
      </c>
      <c r="L217" s="389">
        <f t="shared" si="17"/>
        <v>19.7</v>
      </c>
    </row>
    <row r="218" spans="1:12" ht="14.4" x14ac:dyDescent="0.25">
      <c r="A218" s="218"/>
      <c r="B218" s="157" t="s">
        <v>499</v>
      </c>
      <c r="C218" s="11"/>
      <c r="D218" s="16">
        <v>2.65</v>
      </c>
      <c r="E218" s="479"/>
      <c r="F218" s="16">
        <v>3.94</v>
      </c>
      <c r="G218" s="478">
        <v>1</v>
      </c>
      <c r="H218" s="389">
        <f t="shared" si="16"/>
        <v>10.440999999999999</v>
      </c>
      <c r="I218" s="92"/>
      <c r="J218" s="17"/>
      <c r="K218" s="50" t="s">
        <v>3</v>
      </c>
      <c r="L218" s="389">
        <f t="shared" si="17"/>
        <v>10.440999999999999</v>
      </c>
    </row>
    <row r="219" spans="1:12" ht="14.4" x14ac:dyDescent="0.25">
      <c r="A219" s="218"/>
      <c r="B219" s="157" t="s">
        <v>501</v>
      </c>
      <c r="C219" s="11"/>
      <c r="D219" s="16">
        <v>5.24</v>
      </c>
      <c r="E219" s="479"/>
      <c r="F219" s="16">
        <v>3.94</v>
      </c>
      <c r="G219" s="478">
        <v>1</v>
      </c>
      <c r="H219" s="389">
        <f t="shared" si="16"/>
        <v>20.645600000000002</v>
      </c>
      <c r="I219" s="92"/>
      <c r="J219" s="17"/>
      <c r="K219" s="50" t="s">
        <v>3</v>
      </c>
      <c r="L219" s="389">
        <f t="shared" si="17"/>
        <v>20.645600000000002</v>
      </c>
    </row>
    <row r="220" spans="1:12" ht="14.4" x14ac:dyDescent="0.25">
      <c r="A220" s="218"/>
      <c r="B220" s="157" t="s">
        <v>502</v>
      </c>
      <c r="C220" s="11"/>
      <c r="D220" s="16">
        <v>2.25</v>
      </c>
      <c r="E220" s="479"/>
      <c r="F220" s="16">
        <v>3.94</v>
      </c>
      <c r="G220" s="478">
        <v>1</v>
      </c>
      <c r="H220" s="389">
        <f t="shared" si="16"/>
        <v>8.8650000000000002</v>
      </c>
      <c r="I220" s="92"/>
      <c r="J220" s="17"/>
      <c r="K220" s="50" t="s">
        <v>3</v>
      </c>
      <c r="L220" s="389">
        <f t="shared" si="17"/>
        <v>8.8650000000000002</v>
      </c>
    </row>
    <row r="221" spans="1:12" ht="14.4" x14ac:dyDescent="0.25">
      <c r="A221" s="218"/>
      <c r="B221" s="157" t="s">
        <v>504</v>
      </c>
      <c r="C221" s="11"/>
      <c r="D221" s="16">
        <v>4.6500000000000004</v>
      </c>
      <c r="E221" s="479"/>
      <c r="F221" s="16">
        <v>3.94</v>
      </c>
      <c r="G221" s="478">
        <v>1</v>
      </c>
      <c r="H221" s="389">
        <f t="shared" si="16"/>
        <v>18.321000000000002</v>
      </c>
      <c r="I221" s="92"/>
      <c r="J221" s="17"/>
      <c r="K221" s="50" t="s">
        <v>3</v>
      </c>
      <c r="L221" s="389">
        <f t="shared" si="17"/>
        <v>18.321000000000002</v>
      </c>
    </row>
    <row r="222" spans="1:12" ht="14.4" x14ac:dyDescent="0.25">
      <c r="A222" s="218"/>
      <c r="B222" s="157" t="s">
        <v>505</v>
      </c>
      <c r="C222" s="11"/>
      <c r="D222" s="16">
        <v>2.14</v>
      </c>
      <c r="E222" s="479"/>
      <c r="F222" s="16">
        <v>3.94</v>
      </c>
      <c r="G222" s="478">
        <v>1</v>
      </c>
      <c r="H222" s="389">
        <f t="shared" si="16"/>
        <v>8.4315999999999995</v>
      </c>
      <c r="I222" s="92"/>
      <c r="J222" s="17"/>
      <c r="K222" s="50" t="s">
        <v>3</v>
      </c>
      <c r="L222" s="389">
        <f t="shared" si="17"/>
        <v>8.4315999999999995</v>
      </c>
    </row>
    <row r="223" spans="1:12" ht="14.4" x14ac:dyDescent="0.25">
      <c r="A223" s="218"/>
      <c r="B223" s="157" t="s">
        <v>506</v>
      </c>
      <c r="C223" s="11"/>
      <c r="D223" s="16">
        <v>2.29</v>
      </c>
      <c r="E223" s="479"/>
      <c r="F223" s="16">
        <v>3.94</v>
      </c>
      <c r="G223" s="478">
        <v>1</v>
      </c>
      <c r="H223" s="389">
        <f t="shared" si="16"/>
        <v>9.0226000000000006</v>
      </c>
      <c r="I223" s="92"/>
      <c r="J223" s="17"/>
      <c r="K223" s="50" t="s">
        <v>3</v>
      </c>
      <c r="L223" s="389">
        <f t="shared" si="17"/>
        <v>9.0226000000000006</v>
      </c>
    </row>
    <row r="224" spans="1:12" ht="14.4" x14ac:dyDescent="0.25">
      <c r="A224" s="218"/>
      <c r="B224" s="157" t="s">
        <v>507</v>
      </c>
      <c r="C224" s="11"/>
      <c r="D224" s="16">
        <v>4.8600000000000003</v>
      </c>
      <c r="E224" s="479"/>
      <c r="F224" s="16">
        <v>3.94</v>
      </c>
      <c r="G224" s="478">
        <v>1</v>
      </c>
      <c r="H224" s="389">
        <f t="shared" si="16"/>
        <v>19.148400000000002</v>
      </c>
      <c r="I224" s="92"/>
      <c r="J224" s="17"/>
      <c r="K224" s="50" t="s">
        <v>3</v>
      </c>
      <c r="L224" s="389">
        <f t="shared" si="17"/>
        <v>19.148400000000002</v>
      </c>
    </row>
    <row r="225" spans="1:12" ht="14.4" x14ac:dyDescent="0.25">
      <c r="A225" s="218"/>
      <c r="B225" s="157" t="s">
        <v>508</v>
      </c>
      <c r="C225" s="11"/>
      <c r="D225" s="16">
        <v>5.2</v>
      </c>
      <c r="E225" s="479"/>
      <c r="F225" s="16">
        <v>3.94</v>
      </c>
      <c r="G225" s="478">
        <v>1</v>
      </c>
      <c r="H225" s="389">
        <f t="shared" si="16"/>
        <v>20.488</v>
      </c>
      <c r="I225" s="92"/>
      <c r="J225" s="17"/>
      <c r="K225" s="50" t="s">
        <v>3</v>
      </c>
      <c r="L225" s="389">
        <f t="shared" si="17"/>
        <v>20.488</v>
      </c>
    </row>
    <row r="226" spans="1:12" ht="14.4" x14ac:dyDescent="0.25">
      <c r="A226" s="218"/>
      <c r="B226" s="157" t="s">
        <v>509</v>
      </c>
      <c r="C226" s="11"/>
      <c r="D226" s="16">
        <v>3.27</v>
      </c>
      <c r="E226" s="479"/>
      <c r="F226" s="16">
        <v>3.94</v>
      </c>
      <c r="G226" s="478">
        <v>1</v>
      </c>
      <c r="H226" s="389">
        <f t="shared" si="16"/>
        <v>12.883799999999999</v>
      </c>
      <c r="I226" s="92"/>
      <c r="J226" s="17"/>
      <c r="K226" s="50" t="s">
        <v>3</v>
      </c>
      <c r="L226" s="389">
        <f t="shared" si="17"/>
        <v>12.883799999999999</v>
      </c>
    </row>
    <row r="227" spans="1:12" ht="14.4" x14ac:dyDescent="0.25">
      <c r="A227" s="218"/>
      <c r="B227" s="157" t="s">
        <v>510</v>
      </c>
      <c r="C227" s="11"/>
      <c r="D227" s="16">
        <v>3.25</v>
      </c>
      <c r="E227" s="479"/>
      <c r="F227" s="16">
        <v>3.94</v>
      </c>
      <c r="G227" s="478">
        <v>1</v>
      </c>
      <c r="H227" s="389">
        <f t="shared" si="16"/>
        <v>12.805</v>
      </c>
      <c r="I227" s="92"/>
      <c r="J227" s="17"/>
      <c r="K227" s="50" t="s">
        <v>3</v>
      </c>
      <c r="L227" s="389">
        <f t="shared" si="17"/>
        <v>12.805</v>
      </c>
    </row>
    <row r="228" spans="1:12" ht="14.4" x14ac:dyDescent="0.25">
      <c r="A228" s="218"/>
      <c r="B228" s="157" t="s">
        <v>512</v>
      </c>
      <c r="C228" s="11"/>
      <c r="D228" s="16">
        <v>1.95</v>
      </c>
      <c r="E228" s="479"/>
      <c r="F228" s="16">
        <v>3.94</v>
      </c>
      <c r="G228" s="478">
        <v>1</v>
      </c>
      <c r="H228" s="389">
        <f t="shared" si="16"/>
        <v>7.6829999999999998</v>
      </c>
      <c r="I228" s="92"/>
      <c r="J228" s="17"/>
      <c r="K228" s="50" t="s">
        <v>3</v>
      </c>
      <c r="L228" s="389">
        <f t="shared" si="17"/>
        <v>7.6829999999999998</v>
      </c>
    </row>
    <row r="229" spans="1:12" ht="14.4" x14ac:dyDescent="0.25">
      <c r="A229" s="218"/>
      <c r="B229" s="157" t="s">
        <v>513</v>
      </c>
      <c r="C229" s="11"/>
      <c r="D229" s="16">
        <v>10.210000000000001</v>
      </c>
      <c r="E229" s="479"/>
      <c r="F229" s="16">
        <v>3.94</v>
      </c>
      <c r="G229" s="478">
        <v>1</v>
      </c>
      <c r="H229" s="389">
        <f t="shared" si="16"/>
        <v>37.917400000000001</v>
      </c>
      <c r="I229" s="92">
        <v>2.31</v>
      </c>
      <c r="J229" s="17"/>
      <c r="K229" s="50" t="s">
        <v>3</v>
      </c>
      <c r="L229" s="389">
        <f t="shared" si="17"/>
        <v>37.917400000000001</v>
      </c>
    </row>
    <row r="230" spans="1:12" ht="14.4" x14ac:dyDescent="0.25">
      <c r="A230" s="218"/>
      <c r="B230" s="157" t="s">
        <v>514</v>
      </c>
      <c r="C230" s="11"/>
      <c r="D230" s="16">
        <v>3.63</v>
      </c>
      <c r="E230" s="479"/>
      <c r="F230" s="16">
        <v>3.94</v>
      </c>
      <c r="G230" s="478">
        <v>1</v>
      </c>
      <c r="H230" s="389">
        <f t="shared" si="16"/>
        <v>14.302199999999999</v>
      </c>
      <c r="I230" s="92"/>
      <c r="J230" s="17"/>
      <c r="K230" s="50" t="s">
        <v>3</v>
      </c>
      <c r="L230" s="389">
        <f t="shared" si="17"/>
        <v>14.302199999999999</v>
      </c>
    </row>
    <row r="231" spans="1:12" ht="14.4" x14ac:dyDescent="0.25">
      <c r="A231" s="218"/>
      <c r="B231" s="157" t="s">
        <v>515</v>
      </c>
      <c r="C231" s="11"/>
      <c r="D231" s="16">
        <v>7.49</v>
      </c>
      <c r="E231" s="479"/>
      <c r="F231" s="16">
        <v>3.94</v>
      </c>
      <c r="G231" s="478">
        <v>1</v>
      </c>
      <c r="H231" s="389">
        <f t="shared" si="16"/>
        <v>29.5106</v>
      </c>
      <c r="I231" s="92"/>
      <c r="J231" s="17"/>
      <c r="K231" s="50" t="s">
        <v>3</v>
      </c>
      <c r="L231" s="389">
        <f t="shared" si="17"/>
        <v>29.5106</v>
      </c>
    </row>
    <row r="232" spans="1:12" ht="14.4" x14ac:dyDescent="0.25">
      <c r="A232" s="218"/>
      <c r="B232" s="157" t="s">
        <v>518</v>
      </c>
      <c r="C232" s="11"/>
      <c r="D232" s="16">
        <v>7.65</v>
      </c>
      <c r="E232" s="479"/>
      <c r="F232" s="16">
        <v>3.94</v>
      </c>
      <c r="G232" s="478">
        <v>1</v>
      </c>
      <c r="H232" s="389">
        <f t="shared" si="16"/>
        <v>30.141000000000002</v>
      </c>
      <c r="I232" s="92"/>
      <c r="J232" s="17"/>
      <c r="K232" s="50" t="s">
        <v>3</v>
      </c>
      <c r="L232" s="389">
        <f t="shared" si="17"/>
        <v>30.141000000000002</v>
      </c>
    </row>
    <row r="233" spans="1:12" ht="14.4" x14ac:dyDescent="0.25">
      <c r="A233" s="218"/>
      <c r="B233" s="157" t="s">
        <v>519</v>
      </c>
      <c r="C233" s="11"/>
      <c r="D233" s="16">
        <v>1.8</v>
      </c>
      <c r="E233" s="479"/>
      <c r="F233" s="16">
        <v>3.94</v>
      </c>
      <c r="G233" s="478">
        <v>1</v>
      </c>
      <c r="H233" s="389">
        <f t="shared" si="16"/>
        <v>7.0919999999999996</v>
      </c>
      <c r="I233" s="92"/>
      <c r="J233" s="17"/>
      <c r="K233" s="50" t="s">
        <v>3</v>
      </c>
      <c r="L233" s="389">
        <f t="shared" si="17"/>
        <v>7.0919999999999996</v>
      </c>
    </row>
    <row r="234" spans="1:12" ht="14.4" x14ac:dyDescent="0.25">
      <c r="A234" s="218"/>
      <c r="B234" s="157" t="s">
        <v>522</v>
      </c>
      <c r="C234" s="11"/>
      <c r="D234" s="16">
        <v>2.75</v>
      </c>
      <c r="E234" s="479"/>
      <c r="F234" s="16">
        <v>3.94</v>
      </c>
      <c r="G234" s="478">
        <v>1</v>
      </c>
      <c r="H234" s="389">
        <f t="shared" si="16"/>
        <v>10.834999999999999</v>
      </c>
      <c r="I234" s="92"/>
      <c r="J234" s="17"/>
      <c r="K234" s="50" t="s">
        <v>3</v>
      </c>
      <c r="L234" s="389">
        <f t="shared" si="17"/>
        <v>10.834999999999999</v>
      </c>
    </row>
    <row r="235" spans="1:12" ht="14.4" x14ac:dyDescent="0.25">
      <c r="A235" s="218"/>
      <c r="B235" s="157" t="s">
        <v>527</v>
      </c>
      <c r="C235" s="11"/>
      <c r="D235" s="16">
        <v>2.5</v>
      </c>
      <c r="E235" s="479"/>
      <c r="F235" s="16">
        <v>3.94</v>
      </c>
      <c r="G235" s="478">
        <v>1</v>
      </c>
      <c r="H235" s="389">
        <f t="shared" si="16"/>
        <v>9.85</v>
      </c>
      <c r="I235" s="92"/>
      <c r="J235" s="17"/>
      <c r="K235" s="50" t="s">
        <v>3</v>
      </c>
      <c r="L235" s="389">
        <f t="shared" si="17"/>
        <v>9.85</v>
      </c>
    </row>
    <row r="236" spans="1:12" ht="14.4" x14ac:dyDescent="0.25">
      <c r="A236" s="218"/>
      <c r="B236" s="157" t="s">
        <v>534</v>
      </c>
      <c r="C236" s="11"/>
      <c r="D236" s="16">
        <v>1.65</v>
      </c>
      <c r="E236" s="479"/>
      <c r="F236" s="16">
        <v>3.94</v>
      </c>
      <c r="G236" s="478">
        <v>1</v>
      </c>
      <c r="H236" s="389">
        <f t="shared" si="16"/>
        <v>6.5009999999999994</v>
      </c>
      <c r="I236" s="92"/>
      <c r="J236" s="17"/>
      <c r="K236" s="50" t="s">
        <v>3</v>
      </c>
      <c r="L236" s="389">
        <f t="shared" si="17"/>
        <v>6.5009999999999994</v>
      </c>
    </row>
    <row r="237" spans="1:12" ht="14.4" x14ac:dyDescent="0.25">
      <c r="A237" s="218"/>
      <c r="B237" s="157" t="s">
        <v>535</v>
      </c>
      <c r="C237" s="11"/>
      <c r="D237" s="16">
        <v>3.21</v>
      </c>
      <c r="E237" s="479"/>
      <c r="F237" s="16">
        <v>3.94</v>
      </c>
      <c r="G237" s="478">
        <v>3</v>
      </c>
      <c r="H237" s="389">
        <f t="shared" si="16"/>
        <v>37.9422</v>
      </c>
      <c r="I237" s="92"/>
      <c r="J237" s="17"/>
      <c r="K237" s="50" t="s">
        <v>3</v>
      </c>
      <c r="L237" s="389">
        <f t="shared" si="17"/>
        <v>37.9422</v>
      </c>
    </row>
    <row r="238" spans="1:12" ht="14.4" x14ac:dyDescent="0.25">
      <c r="A238" s="218"/>
      <c r="B238" s="157" t="s">
        <v>536</v>
      </c>
      <c r="C238" s="11"/>
      <c r="D238" s="16">
        <v>4.8499999999999996</v>
      </c>
      <c r="E238" s="479"/>
      <c r="F238" s="16">
        <v>3.94</v>
      </c>
      <c r="G238" s="478">
        <v>1</v>
      </c>
      <c r="H238" s="389">
        <f t="shared" si="16"/>
        <v>19.108999999999998</v>
      </c>
      <c r="I238" s="92"/>
      <c r="J238" s="17"/>
      <c r="K238" s="50" t="s">
        <v>3</v>
      </c>
      <c r="L238" s="389">
        <f t="shared" si="17"/>
        <v>19.108999999999998</v>
      </c>
    </row>
    <row r="239" spans="1:12" ht="14.4" x14ac:dyDescent="0.25">
      <c r="A239" s="218"/>
      <c r="B239" s="157" t="s">
        <v>538</v>
      </c>
      <c r="C239" s="11"/>
      <c r="D239" s="16">
        <v>1.85</v>
      </c>
      <c r="E239" s="479"/>
      <c r="F239" s="16">
        <v>3.94</v>
      </c>
      <c r="G239" s="478">
        <v>1</v>
      </c>
      <c r="H239" s="389">
        <f t="shared" si="16"/>
        <v>7.2890000000000006</v>
      </c>
      <c r="I239" s="92"/>
      <c r="J239" s="17"/>
      <c r="K239" s="50" t="s">
        <v>3</v>
      </c>
      <c r="L239" s="389">
        <f t="shared" si="17"/>
        <v>7.2890000000000006</v>
      </c>
    </row>
    <row r="240" spans="1:12" ht="14.4" x14ac:dyDescent="0.25">
      <c r="A240" s="218"/>
      <c r="B240" s="157" t="s">
        <v>539</v>
      </c>
      <c r="C240" s="11"/>
      <c r="D240" s="16">
        <v>2.57</v>
      </c>
      <c r="E240" s="479"/>
      <c r="F240" s="16">
        <v>3.94</v>
      </c>
      <c r="G240" s="478">
        <v>1</v>
      </c>
      <c r="H240" s="389">
        <f t="shared" si="16"/>
        <v>10.1258</v>
      </c>
      <c r="I240" s="92"/>
      <c r="J240" s="17"/>
      <c r="K240" s="50" t="s">
        <v>3</v>
      </c>
      <c r="L240" s="389">
        <f t="shared" si="17"/>
        <v>10.1258</v>
      </c>
    </row>
    <row r="241" spans="1:12" ht="14.4" x14ac:dyDescent="0.25">
      <c r="A241" s="218"/>
      <c r="B241" s="157" t="s">
        <v>541</v>
      </c>
      <c r="C241" s="11"/>
      <c r="D241" s="16">
        <v>0.45</v>
      </c>
      <c r="E241" s="479"/>
      <c r="F241" s="16">
        <v>3.94</v>
      </c>
      <c r="G241" s="478">
        <v>1</v>
      </c>
      <c r="H241" s="389">
        <f t="shared" si="16"/>
        <v>1.7729999999999999</v>
      </c>
      <c r="I241" s="92"/>
      <c r="J241" s="17"/>
      <c r="K241" s="50" t="s">
        <v>3</v>
      </c>
      <c r="L241" s="389">
        <f t="shared" si="17"/>
        <v>1.7729999999999999</v>
      </c>
    </row>
    <row r="242" spans="1:12" ht="14.4" x14ac:dyDescent="0.25">
      <c r="A242" s="218"/>
      <c r="B242" s="157" t="s">
        <v>553</v>
      </c>
      <c r="C242" s="11"/>
      <c r="D242" s="16">
        <v>2.2000000000000002</v>
      </c>
      <c r="E242" s="479"/>
      <c r="F242" s="16">
        <v>3.94</v>
      </c>
      <c r="G242" s="478">
        <v>1</v>
      </c>
      <c r="H242" s="389">
        <f t="shared" si="16"/>
        <v>8.668000000000001</v>
      </c>
      <c r="I242" s="92"/>
      <c r="J242" s="17"/>
      <c r="K242" s="50" t="s">
        <v>3</v>
      </c>
      <c r="L242" s="389">
        <f t="shared" si="17"/>
        <v>8.668000000000001</v>
      </c>
    </row>
    <row r="243" spans="1:12" ht="14.4" x14ac:dyDescent="0.25">
      <c r="A243" s="218"/>
      <c r="B243" s="157" t="s">
        <v>554</v>
      </c>
      <c r="C243" s="11"/>
      <c r="D243" s="16">
        <v>2.5</v>
      </c>
      <c r="E243" s="479"/>
      <c r="F243" s="16">
        <v>3.94</v>
      </c>
      <c r="G243" s="478">
        <v>2</v>
      </c>
      <c r="H243" s="389">
        <f t="shared" si="16"/>
        <v>19.7</v>
      </c>
      <c r="I243" s="92"/>
      <c r="J243" s="17"/>
      <c r="K243" s="50" t="s">
        <v>3</v>
      </c>
      <c r="L243" s="389">
        <f t="shared" si="17"/>
        <v>19.7</v>
      </c>
    </row>
    <row r="244" spans="1:12" ht="14.4" x14ac:dyDescent="0.25">
      <c r="A244" s="224"/>
      <c r="B244" s="21" t="s">
        <v>563</v>
      </c>
      <c r="C244" s="12"/>
      <c r="D244" s="35">
        <f>SUM(D209:D243)</f>
        <v>116.87999999999998</v>
      </c>
      <c r="E244" s="18"/>
      <c r="F244" s="10"/>
      <c r="G244" s="22"/>
      <c r="H244" s="19"/>
      <c r="I244" s="19"/>
      <c r="J244" s="19"/>
      <c r="K244" s="23" t="s">
        <v>3</v>
      </c>
      <c r="L244" s="13">
        <f>SUM(L209:L243)</f>
        <v>517.97940000000006</v>
      </c>
    </row>
    <row r="245" spans="1:12" ht="14.4" x14ac:dyDescent="0.25">
      <c r="A245" s="224"/>
      <c r="B245" s="822" t="s">
        <v>1</v>
      </c>
      <c r="C245" s="55" t="s">
        <v>0</v>
      </c>
      <c r="D245" s="52" t="s">
        <v>12</v>
      </c>
      <c r="E245" s="52" t="s">
        <v>4</v>
      </c>
      <c r="F245" s="52" t="s">
        <v>2</v>
      </c>
      <c r="G245" s="52" t="s">
        <v>6</v>
      </c>
      <c r="H245" s="148" t="s">
        <v>5</v>
      </c>
      <c r="I245" s="56" t="s">
        <v>13</v>
      </c>
      <c r="J245" s="148" t="s">
        <v>14</v>
      </c>
      <c r="K245" s="822" t="s">
        <v>7</v>
      </c>
      <c r="L245" s="824" t="s">
        <v>8</v>
      </c>
    </row>
    <row r="246" spans="1:12" ht="14.4" x14ac:dyDescent="0.3">
      <c r="A246" s="224"/>
      <c r="B246" s="823"/>
      <c r="C246" s="80" t="s">
        <v>9</v>
      </c>
      <c r="D246" s="81" t="s">
        <v>10</v>
      </c>
      <c r="E246" s="81" t="s">
        <v>10</v>
      </c>
      <c r="F246" s="81" t="s">
        <v>10</v>
      </c>
      <c r="G246" s="80" t="s">
        <v>9</v>
      </c>
      <c r="H246" s="82" t="s">
        <v>11</v>
      </c>
      <c r="I246" s="113" t="s">
        <v>11</v>
      </c>
      <c r="J246" s="82" t="s">
        <v>15</v>
      </c>
      <c r="K246" s="823"/>
      <c r="L246" s="825"/>
    </row>
    <row r="247" spans="1:12" ht="14.4" x14ac:dyDescent="0.3">
      <c r="A247" s="224"/>
      <c r="B247" s="20" t="s">
        <v>698</v>
      </c>
      <c r="C247" s="381"/>
      <c r="D247" s="382"/>
      <c r="E247" s="382"/>
      <c r="F247" s="382"/>
      <c r="G247" s="381"/>
      <c r="H247" s="383"/>
      <c r="I247" s="384"/>
      <c r="J247" s="383"/>
      <c r="K247" s="383"/>
      <c r="L247" s="7"/>
    </row>
    <row r="248" spans="1:12" ht="13.8" x14ac:dyDescent="0.25">
      <c r="A248" s="218"/>
      <c r="B248" s="572" t="s">
        <v>524</v>
      </c>
      <c r="C248" s="398"/>
      <c r="D248" s="389">
        <v>3.75</v>
      </c>
      <c r="E248" s="389"/>
      <c r="F248" s="389">
        <v>3.94</v>
      </c>
      <c r="G248" s="390">
        <v>1</v>
      </c>
      <c r="H248" s="389">
        <f t="shared" ref="H248:H250" si="18">D248*F248*G248-I248</f>
        <v>12.885</v>
      </c>
      <c r="I248" s="483">
        <v>1.89</v>
      </c>
      <c r="J248" s="399"/>
      <c r="K248" s="399" t="s">
        <v>3</v>
      </c>
      <c r="L248" s="389">
        <f t="shared" ref="L248:L249" si="19">H248</f>
        <v>12.885</v>
      </c>
    </row>
    <row r="249" spans="1:12" ht="13.8" x14ac:dyDescent="0.25">
      <c r="A249" s="218"/>
      <c r="B249" s="572" t="s">
        <v>544</v>
      </c>
      <c r="C249" s="398"/>
      <c r="D249" s="389">
        <v>6.38</v>
      </c>
      <c r="E249" s="389"/>
      <c r="F249" s="389">
        <v>3.94</v>
      </c>
      <c r="G249" s="390">
        <v>2</v>
      </c>
      <c r="H249" s="389">
        <f t="shared" si="18"/>
        <v>50.2744</v>
      </c>
      <c r="I249" s="483"/>
      <c r="J249" s="399"/>
      <c r="K249" s="399" t="s">
        <v>3</v>
      </c>
      <c r="L249" s="389">
        <f t="shared" si="19"/>
        <v>50.2744</v>
      </c>
    </row>
    <row r="250" spans="1:12" ht="13.8" x14ac:dyDescent="0.25">
      <c r="A250" s="218"/>
      <c r="B250" s="572" t="s">
        <v>545</v>
      </c>
      <c r="C250" s="398"/>
      <c r="D250" s="389">
        <v>3</v>
      </c>
      <c r="E250" s="389"/>
      <c r="F250" s="389">
        <v>3.94</v>
      </c>
      <c r="G250" s="390">
        <v>3</v>
      </c>
      <c r="H250" s="389">
        <f t="shared" si="18"/>
        <v>33.15</v>
      </c>
      <c r="I250" s="483">
        <v>2.31</v>
      </c>
      <c r="J250" s="399"/>
      <c r="K250" s="399" t="s">
        <v>3</v>
      </c>
      <c r="L250" s="389">
        <f>H250</f>
        <v>33.15</v>
      </c>
    </row>
    <row r="251" spans="1:12" ht="13.8" x14ac:dyDescent="0.25">
      <c r="A251" s="218"/>
      <c r="B251" s="572" t="s">
        <v>546</v>
      </c>
      <c r="C251" s="398"/>
      <c r="D251" s="389">
        <v>5.76</v>
      </c>
      <c r="E251" s="389"/>
      <c r="F251" s="389">
        <v>3.94</v>
      </c>
      <c r="G251" s="390">
        <v>1</v>
      </c>
      <c r="H251" s="389">
        <f>D251*F251*G251-I251</f>
        <v>20.384399999999999</v>
      </c>
      <c r="I251" s="483">
        <v>2.31</v>
      </c>
      <c r="J251" s="399"/>
      <c r="K251" s="399" t="s">
        <v>3</v>
      </c>
      <c r="L251" s="389">
        <f>H251</f>
        <v>20.384399999999999</v>
      </c>
    </row>
    <row r="252" spans="1:12" ht="13.8" x14ac:dyDescent="0.25">
      <c r="A252" s="218"/>
      <c r="B252" s="572" t="s">
        <v>561</v>
      </c>
      <c r="C252" s="398"/>
      <c r="D252" s="389">
        <v>8.2799999999999994</v>
      </c>
      <c r="E252" s="389"/>
      <c r="F252" s="389">
        <v>3.94</v>
      </c>
      <c r="G252" s="390">
        <v>1</v>
      </c>
      <c r="H252" s="389">
        <f t="shared" ref="H252:H253" si="20">D252*F252*G252-I252</f>
        <v>32.623199999999997</v>
      </c>
      <c r="I252" s="483"/>
      <c r="J252" s="399"/>
      <c r="K252" s="399" t="s">
        <v>3</v>
      </c>
      <c r="L252" s="389">
        <f t="shared" ref="L252:L253" si="21">H252</f>
        <v>32.623199999999997</v>
      </c>
    </row>
    <row r="253" spans="1:12" ht="13.8" x14ac:dyDescent="0.25">
      <c r="A253" s="218"/>
      <c r="B253" s="572" t="s">
        <v>596</v>
      </c>
      <c r="C253" s="398"/>
      <c r="D253" s="389">
        <v>2.27</v>
      </c>
      <c r="E253" s="389"/>
      <c r="F253" s="389">
        <v>3.94</v>
      </c>
      <c r="G253" s="390">
        <v>2</v>
      </c>
      <c r="H253" s="389">
        <f t="shared" si="20"/>
        <v>17.887599999999999</v>
      </c>
      <c r="I253" s="483"/>
      <c r="J253" s="399"/>
      <c r="K253" s="399" t="s">
        <v>3</v>
      </c>
      <c r="L253" s="389">
        <f t="shared" si="21"/>
        <v>17.887599999999999</v>
      </c>
    </row>
    <row r="254" spans="1:12" ht="14.4" x14ac:dyDescent="0.25">
      <c r="B254" s="391" t="s">
        <v>563</v>
      </c>
      <c r="C254" s="205"/>
      <c r="D254" s="392">
        <f>SUM(D248:D253)</f>
        <v>29.44</v>
      </c>
      <c r="E254" s="401"/>
      <c r="F254" s="393"/>
      <c r="G254" s="394"/>
      <c r="H254" s="395"/>
      <c r="I254" s="395"/>
      <c r="J254" s="395"/>
      <c r="K254" s="396" t="s">
        <v>3</v>
      </c>
      <c r="L254" s="397">
        <f>SUM(L248:L253)</f>
        <v>167.2046</v>
      </c>
    </row>
    <row r="255" spans="1:12" ht="14.4" x14ac:dyDescent="0.3">
      <c r="B255" s="20" t="s">
        <v>702</v>
      </c>
      <c r="C255" s="381"/>
      <c r="D255" s="382"/>
      <c r="E255" s="382"/>
      <c r="F255" s="382"/>
      <c r="G255" s="381"/>
      <c r="H255" s="383"/>
      <c r="I255" s="384"/>
      <c r="J255" s="383"/>
      <c r="K255" s="383"/>
      <c r="L255" s="7"/>
    </row>
    <row r="256" spans="1:12" ht="14.4" x14ac:dyDescent="0.25">
      <c r="B256" s="217" t="s">
        <v>562</v>
      </c>
      <c r="C256" s="398"/>
      <c r="D256" s="389">
        <v>5.07</v>
      </c>
      <c r="E256" s="389"/>
      <c r="F256" s="389">
        <v>3.94</v>
      </c>
      <c r="G256" s="390">
        <v>4</v>
      </c>
      <c r="H256" s="389">
        <v>11.741199999999999</v>
      </c>
      <c r="I256" s="481"/>
      <c r="J256" s="399"/>
      <c r="K256" s="399" t="s">
        <v>3</v>
      </c>
      <c r="L256" s="483">
        <v>11.741199999999999</v>
      </c>
    </row>
    <row r="257" spans="2:12" ht="14.4" x14ac:dyDescent="0.25">
      <c r="B257" s="217" t="s">
        <v>569</v>
      </c>
      <c r="C257" s="398"/>
      <c r="D257" s="389">
        <v>2.78</v>
      </c>
      <c r="E257" s="389"/>
      <c r="F257" s="389">
        <v>3.94</v>
      </c>
      <c r="G257" s="390">
        <v>4</v>
      </c>
      <c r="H257" s="389">
        <v>20.921399999999998</v>
      </c>
      <c r="I257" s="481"/>
      <c r="J257" s="399"/>
      <c r="K257" s="399" t="s">
        <v>3</v>
      </c>
      <c r="L257" s="483">
        <v>20.921399999999998</v>
      </c>
    </row>
    <row r="258" spans="2:12" ht="14.4" x14ac:dyDescent="0.25">
      <c r="B258" s="21" t="s">
        <v>684</v>
      </c>
      <c r="C258" s="12"/>
      <c r="D258" s="35">
        <f>SUM(D256:D257)</f>
        <v>7.85</v>
      </c>
      <c r="E258" s="459"/>
      <c r="F258" s="10"/>
      <c r="G258" s="22"/>
      <c r="H258" s="19"/>
      <c r="I258" s="19"/>
      <c r="J258" s="19"/>
      <c r="K258" s="23" t="s">
        <v>3</v>
      </c>
      <c r="L258" s="13">
        <f>SUM(L256:L257)</f>
        <v>32.662599999999998</v>
      </c>
    </row>
    <row r="259" spans="2:12" ht="14.4" x14ac:dyDescent="0.3">
      <c r="B259" s="20" t="s">
        <v>700</v>
      </c>
      <c r="C259" s="381"/>
      <c r="D259" s="382"/>
      <c r="E259" s="382"/>
      <c r="F259" s="382"/>
      <c r="G259" s="381"/>
      <c r="H259" s="383"/>
      <c r="I259" s="384"/>
      <c r="J259" s="383"/>
      <c r="K259" s="383"/>
      <c r="L259" s="7"/>
    </row>
    <row r="260" spans="2:12" ht="14.4" x14ac:dyDescent="0.25">
      <c r="B260" s="217" t="s">
        <v>595</v>
      </c>
      <c r="C260" s="398"/>
      <c r="D260" s="389">
        <v>2.98</v>
      </c>
      <c r="E260" s="389"/>
      <c r="F260" s="389">
        <v>3.94</v>
      </c>
      <c r="G260" s="390">
        <v>1</v>
      </c>
      <c r="H260" s="389">
        <f t="shared" ref="H260:H266" si="22">D260*F260*G260-I260</f>
        <v>11.741199999999999</v>
      </c>
      <c r="I260" s="481"/>
      <c r="J260" s="399"/>
      <c r="K260" s="399" t="s">
        <v>3</v>
      </c>
      <c r="L260" s="483">
        <f t="shared" ref="L260:L266" si="23">H260</f>
        <v>11.741199999999999</v>
      </c>
    </row>
    <row r="261" spans="2:12" ht="14.4" x14ac:dyDescent="0.25">
      <c r="B261" s="217" t="s">
        <v>591</v>
      </c>
      <c r="C261" s="398"/>
      <c r="D261" s="389">
        <v>5.31</v>
      </c>
      <c r="E261" s="389"/>
      <c r="F261" s="389">
        <v>3.94</v>
      </c>
      <c r="G261" s="390">
        <v>1</v>
      </c>
      <c r="H261" s="389">
        <f t="shared" si="22"/>
        <v>20.921399999999998</v>
      </c>
      <c r="I261" s="481"/>
      <c r="J261" s="399"/>
      <c r="K261" s="399" t="s">
        <v>3</v>
      </c>
      <c r="L261" s="483">
        <f t="shared" si="23"/>
        <v>20.921399999999998</v>
      </c>
    </row>
    <row r="262" spans="2:12" ht="14.4" x14ac:dyDescent="0.25">
      <c r="B262" s="217" t="s">
        <v>597</v>
      </c>
      <c r="C262" s="398"/>
      <c r="D262" s="389">
        <v>1.96</v>
      </c>
      <c r="E262" s="389"/>
      <c r="F262" s="389">
        <v>3.94</v>
      </c>
      <c r="G262" s="390">
        <v>1</v>
      </c>
      <c r="H262" s="389">
        <f t="shared" si="22"/>
        <v>7.7223999999999995</v>
      </c>
      <c r="I262" s="481"/>
      <c r="J262" s="399"/>
      <c r="K262" s="399" t="s">
        <v>3</v>
      </c>
      <c r="L262" s="483">
        <f t="shared" si="23"/>
        <v>7.7223999999999995</v>
      </c>
    </row>
    <row r="263" spans="2:12" ht="14.4" x14ac:dyDescent="0.25">
      <c r="B263" s="217" t="s">
        <v>598</v>
      </c>
      <c r="C263" s="398"/>
      <c r="D263" s="389">
        <v>4.7300000000000004</v>
      </c>
      <c r="E263" s="389"/>
      <c r="F263" s="389">
        <v>3.94</v>
      </c>
      <c r="G263" s="390">
        <v>1</v>
      </c>
      <c r="H263" s="389">
        <f t="shared" si="22"/>
        <v>18.636200000000002</v>
      </c>
      <c r="I263" s="481"/>
      <c r="J263" s="399"/>
      <c r="K263" s="399" t="s">
        <v>3</v>
      </c>
      <c r="L263" s="483">
        <f t="shared" si="23"/>
        <v>18.636200000000002</v>
      </c>
    </row>
    <row r="264" spans="2:12" ht="14.4" x14ac:dyDescent="0.25">
      <c r="B264" s="217" t="s">
        <v>592</v>
      </c>
      <c r="C264" s="398"/>
      <c r="D264" s="389">
        <v>2.74</v>
      </c>
      <c r="E264" s="389"/>
      <c r="F264" s="389">
        <v>3.94</v>
      </c>
      <c r="G264" s="390">
        <v>1</v>
      </c>
      <c r="H264" s="389">
        <f t="shared" si="22"/>
        <v>10.7956</v>
      </c>
      <c r="I264" s="481"/>
      <c r="J264" s="399"/>
      <c r="K264" s="399" t="s">
        <v>3</v>
      </c>
      <c r="L264" s="483">
        <f t="shared" si="23"/>
        <v>10.7956</v>
      </c>
    </row>
    <row r="265" spans="2:12" ht="14.4" x14ac:dyDescent="0.25">
      <c r="B265" s="217" t="s">
        <v>599</v>
      </c>
      <c r="C265" s="398"/>
      <c r="D265" s="389">
        <v>5.05</v>
      </c>
      <c r="E265" s="389"/>
      <c r="F265" s="389">
        <v>3.94</v>
      </c>
      <c r="G265" s="390">
        <v>1</v>
      </c>
      <c r="H265" s="389">
        <f t="shared" si="22"/>
        <v>19.896999999999998</v>
      </c>
      <c r="I265" s="481"/>
      <c r="J265" s="399"/>
      <c r="K265" s="399" t="s">
        <v>3</v>
      </c>
      <c r="L265" s="483">
        <f t="shared" si="23"/>
        <v>19.896999999999998</v>
      </c>
    </row>
    <row r="266" spans="2:12" ht="14.4" x14ac:dyDescent="0.25">
      <c r="B266" s="217" t="s">
        <v>601</v>
      </c>
      <c r="C266" s="398"/>
      <c r="D266" s="389">
        <v>5.71</v>
      </c>
      <c r="E266" s="389"/>
      <c r="F266" s="389">
        <v>3.94</v>
      </c>
      <c r="G266" s="390">
        <v>1</v>
      </c>
      <c r="H266" s="389">
        <f t="shared" si="22"/>
        <v>22.497399999999999</v>
      </c>
      <c r="I266" s="481"/>
      <c r="J266" s="399"/>
      <c r="K266" s="399" t="s">
        <v>3</v>
      </c>
      <c r="L266" s="483">
        <f t="shared" si="23"/>
        <v>22.497399999999999</v>
      </c>
    </row>
    <row r="267" spans="2:12" ht="14.4" x14ac:dyDescent="0.25">
      <c r="B267" s="21" t="s">
        <v>564</v>
      </c>
      <c r="C267" s="12"/>
      <c r="D267" s="35">
        <f>SUM(D260:D266)</f>
        <v>28.48</v>
      </c>
      <c r="E267" s="459"/>
      <c r="F267" s="10"/>
      <c r="G267" s="22"/>
      <c r="H267" s="19"/>
      <c r="I267" s="19"/>
      <c r="J267" s="19"/>
      <c r="K267" s="23" t="s">
        <v>3</v>
      </c>
      <c r="L267" s="13">
        <f>SUM(L260:L266)</f>
        <v>112.21119999999999</v>
      </c>
    </row>
    <row r="268" spans="2:12" ht="15.6" x14ac:dyDescent="0.25">
      <c r="B268" s="545" t="s">
        <v>645</v>
      </c>
      <c r="C268" s="546"/>
      <c r="D268" s="547"/>
      <c r="E268" s="547"/>
      <c r="F268" s="547"/>
      <c r="G268" s="546"/>
      <c r="H268" s="548"/>
      <c r="I268" s="549"/>
      <c r="J268" s="548"/>
      <c r="K268" s="548"/>
      <c r="L268" s="550"/>
    </row>
    <row r="269" spans="2:12" ht="15.6" x14ac:dyDescent="0.25">
      <c r="B269" s="59" t="s">
        <v>685</v>
      </c>
      <c r="C269" s="119"/>
      <c r="D269" s="120"/>
      <c r="E269" s="119"/>
      <c r="F269" s="121"/>
      <c r="G269" s="122"/>
      <c r="H269" s="123"/>
      <c r="I269" s="123"/>
      <c r="J269" s="123"/>
      <c r="K269" s="124"/>
      <c r="L269" s="125"/>
    </row>
    <row r="270" spans="2:12" ht="14.4" x14ac:dyDescent="0.25">
      <c r="B270" s="822" t="s">
        <v>1</v>
      </c>
      <c r="C270" s="55" t="s">
        <v>0</v>
      </c>
      <c r="D270" s="52" t="s">
        <v>12</v>
      </c>
      <c r="E270" s="52" t="s">
        <v>4</v>
      </c>
      <c r="F270" s="52" t="s">
        <v>2</v>
      </c>
      <c r="G270" s="52" t="s">
        <v>6</v>
      </c>
      <c r="H270" s="148" t="s">
        <v>5</v>
      </c>
      <c r="I270" s="56" t="s">
        <v>13</v>
      </c>
      <c r="J270" s="148" t="s">
        <v>14</v>
      </c>
      <c r="K270" s="822" t="s">
        <v>7</v>
      </c>
      <c r="L270" s="824" t="s">
        <v>8</v>
      </c>
    </row>
    <row r="271" spans="2:12" ht="14.4" x14ac:dyDescent="0.3">
      <c r="B271" s="823"/>
      <c r="C271" s="80" t="s">
        <v>9</v>
      </c>
      <c r="D271" s="81" t="s">
        <v>10</v>
      </c>
      <c r="E271" s="81" t="s">
        <v>10</v>
      </c>
      <c r="F271" s="81" t="s">
        <v>10</v>
      </c>
      <c r="G271" s="80" t="s">
        <v>9</v>
      </c>
      <c r="H271" s="82" t="s">
        <v>11</v>
      </c>
      <c r="I271" s="113" t="s">
        <v>11</v>
      </c>
      <c r="J271" s="82" t="s">
        <v>15</v>
      </c>
      <c r="K271" s="823"/>
      <c r="L271" s="825"/>
    </row>
    <row r="272" spans="2:12" ht="14.4" x14ac:dyDescent="0.3">
      <c r="B272" s="20" t="s">
        <v>698</v>
      </c>
      <c r="C272" s="381"/>
      <c r="D272" s="382"/>
      <c r="E272" s="382"/>
      <c r="F272" s="382"/>
      <c r="G272" s="381"/>
      <c r="H272" s="383"/>
      <c r="I272" s="384"/>
      <c r="J272" s="383"/>
      <c r="K272" s="383"/>
      <c r="L272" s="7"/>
    </row>
    <row r="273" spans="2:12" ht="14.4" x14ac:dyDescent="0.25">
      <c r="B273" s="217" t="s">
        <v>483</v>
      </c>
      <c r="C273" s="398"/>
      <c r="D273" s="483">
        <v>0.57999999999999996</v>
      </c>
      <c r="E273" s="389"/>
      <c r="F273" s="389">
        <v>3.2</v>
      </c>
      <c r="G273" s="390">
        <v>1</v>
      </c>
      <c r="H273" s="389">
        <f t="shared" ref="H273" si="24">D273*F273*G273-I273</f>
        <v>1.8559999999999999</v>
      </c>
      <c r="I273" s="481"/>
      <c r="J273" s="399"/>
      <c r="K273" s="399" t="s">
        <v>3</v>
      </c>
      <c r="L273" s="483">
        <f t="shared" ref="L273" si="25">H273</f>
        <v>1.8559999999999999</v>
      </c>
    </row>
    <row r="274" spans="2:12" ht="14.4" x14ac:dyDescent="0.25">
      <c r="B274" s="217"/>
      <c r="C274" s="398"/>
      <c r="D274" s="483"/>
      <c r="E274" s="389"/>
      <c r="F274" s="389"/>
      <c r="G274" s="390"/>
      <c r="H274" s="389"/>
      <c r="I274" s="481"/>
      <c r="J274" s="399"/>
      <c r="K274" s="399"/>
      <c r="L274" s="483"/>
    </row>
    <row r="275" spans="2:12" ht="14.4" x14ac:dyDescent="0.25">
      <c r="B275" s="21" t="s">
        <v>563</v>
      </c>
      <c r="C275" s="12"/>
      <c r="D275" s="35">
        <f>SUM(D273:D274)</f>
        <v>0.57999999999999996</v>
      </c>
      <c r="E275" s="459"/>
      <c r="F275" s="10"/>
      <c r="G275" s="22"/>
      <c r="H275" s="19"/>
      <c r="I275" s="19"/>
      <c r="J275" s="19"/>
      <c r="K275" s="23" t="s">
        <v>3</v>
      </c>
      <c r="L275" s="13">
        <f>SUM(L273:L274)</f>
        <v>1.8559999999999999</v>
      </c>
    </row>
    <row r="276" spans="2:12" ht="14.4" x14ac:dyDescent="0.3">
      <c r="B276" s="24" t="s">
        <v>687</v>
      </c>
      <c r="C276" s="114"/>
      <c r="D276" s="115"/>
      <c r="E276" s="115"/>
      <c r="F276" s="115"/>
      <c r="G276" s="114"/>
      <c r="H276" s="116"/>
      <c r="I276" s="117"/>
      <c r="J276" s="116"/>
      <c r="K276" s="116"/>
      <c r="L276" s="118"/>
    </row>
    <row r="277" spans="2:12" ht="14.4" x14ac:dyDescent="0.25">
      <c r="B277" s="217" t="s">
        <v>53</v>
      </c>
      <c r="C277" s="398"/>
      <c r="D277" s="483">
        <v>3.52</v>
      </c>
      <c r="E277" s="389"/>
      <c r="F277" s="389">
        <v>3.2</v>
      </c>
      <c r="G277" s="390">
        <v>1</v>
      </c>
      <c r="H277" s="389">
        <f t="shared" ref="H277:H286" si="26">D277*F277*G277-I277</f>
        <v>11.264000000000001</v>
      </c>
      <c r="I277" s="481"/>
      <c r="J277" s="399"/>
      <c r="K277" s="399" t="s">
        <v>3</v>
      </c>
      <c r="L277" s="483">
        <f t="shared" ref="L277:L286" si="27">H277</f>
        <v>11.264000000000001</v>
      </c>
    </row>
    <row r="278" spans="2:12" ht="14.4" x14ac:dyDescent="0.25">
      <c r="B278" s="217" t="s">
        <v>475</v>
      </c>
      <c r="C278" s="398"/>
      <c r="D278" s="483">
        <v>6.7</v>
      </c>
      <c r="E278" s="389"/>
      <c r="F278" s="389">
        <v>3.2</v>
      </c>
      <c r="G278" s="390">
        <v>1</v>
      </c>
      <c r="H278" s="389">
        <f t="shared" si="26"/>
        <v>21.44</v>
      </c>
      <c r="I278" s="481"/>
      <c r="J278" s="399"/>
      <c r="K278" s="399" t="s">
        <v>3</v>
      </c>
      <c r="L278" s="483">
        <f t="shared" si="27"/>
        <v>21.44</v>
      </c>
    </row>
    <row r="279" spans="2:12" ht="14.4" x14ac:dyDescent="0.25">
      <c r="B279" s="217" t="s">
        <v>476</v>
      </c>
      <c r="C279" s="398"/>
      <c r="D279" s="483">
        <v>2.83</v>
      </c>
      <c r="E279" s="389"/>
      <c r="F279" s="389">
        <v>3.2</v>
      </c>
      <c r="G279" s="390">
        <v>1</v>
      </c>
      <c r="H279" s="389">
        <f t="shared" si="26"/>
        <v>9.0560000000000009</v>
      </c>
      <c r="I279" s="481"/>
      <c r="J279" s="399"/>
      <c r="K279" s="399" t="s">
        <v>3</v>
      </c>
      <c r="L279" s="483">
        <f t="shared" si="27"/>
        <v>9.0560000000000009</v>
      </c>
    </row>
    <row r="280" spans="2:12" ht="14.4" x14ac:dyDescent="0.25">
      <c r="B280" s="217" t="s">
        <v>477</v>
      </c>
      <c r="C280" s="398"/>
      <c r="D280" s="483">
        <v>4.32</v>
      </c>
      <c r="E280" s="389"/>
      <c r="F280" s="389">
        <v>3.2</v>
      </c>
      <c r="G280" s="390">
        <v>1</v>
      </c>
      <c r="H280" s="389">
        <f t="shared" si="26"/>
        <v>13.824000000000002</v>
      </c>
      <c r="I280" s="481"/>
      <c r="J280" s="399"/>
      <c r="K280" s="399" t="s">
        <v>3</v>
      </c>
      <c r="L280" s="483">
        <f t="shared" si="27"/>
        <v>13.824000000000002</v>
      </c>
    </row>
    <row r="281" spans="2:12" ht="14.4" x14ac:dyDescent="0.25">
      <c r="B281" s="217" t="s">
        <v>478</v>
      </c>
      <c r="C281" s="398"/>
      <c r="D281" s="483">
        <v>7.32</v>
      </c>
      <c r="E281" s="389"/>
      <c r="F281" s="389">
        <v>3.2</v>
      </c>
      <c r="G281" s="390">
        <v>1</v>
      </c>
      <c r="H281" s="389">
        <f t="shared" si="26"/>
        <v>23.424000000000003</v>
      </c>
      <c r="I281" s="481"/>
      <c r="J281" s="399"/>
      <c r="K281" s="399" t="s">
        <v>3</v>
      </c>
      <c r="L281" s="483">
        <f t="shared" si="27"/>
        <v>23.424000000000003</v>
      </c>
    </row>
    <row r="282" spans="2:12" ht="14.4" x14ac:dyDescent="0.25">
      <c r="B282" s="217" t="s">
        <v>479</v>
      </c>
      <c r="C282" s="398"/>
      <c r="D282" s="483">
        <v>8.1</v>
      </c>
      <c r="E282" s="389"/>
      <c r="F282" s="389">
        <v>3.2</v>
      </c>
      <c r="G282" s="390">
        <v>1</v>
      </c>
      <c r="H282" s="389">
        <f t="shared" si="26"/>
        <v>25.92</v>
      </c>
      <c r="I282" s="481"/>
      <c r="J282" s="399"/>
      <c r="K282" s="399" t="s">
        <v>3</v>
      </c>
      <c r="L282" s="483">
        <f t="shared" si="27"/>
        <v>25.92</v>
      </c>
    </row>
    <row r="283" spans="2:12" ht="14.4" x14ac:dyDescent="0.25">
      <c r="B283" s="217" t="s">
        <v>480</v>
      </c>
      <c r="C283" s="398"/>
      <c r="D283" s="483">
        <v>7.39</v>
      </c>
      <c r="E283" s="389"/>
      <c r="F283" s="389">
        <v>3.2</v>
      </c>
      <c r="G283" s="390">
        <v>1</v>
      </c>
      <c r="H283" s="389">
        <f t="shared" si="26"/>
        <v>23.648</v>
      </c>
      <c r="I283" s="481"/>
      <c r="J283" s="399"/>
      <c r="K283" s="399" t="s">
        <v>3</v>
      </c>
      <c r="L283" s="483">
        <f t="shared" si="27"/>
        <v>23.648</v>
      </c>
    </row>
    <row r="284" spans="2:12" ht="14.4" x14ac:dyDescent="0.25">
      <c r="B284" s="217" t="s">
        <v>481</v>
      </c>
      <c r="C284" s="398"/>
      <c r="D284" s="483">
        <v>6.7</v>
      </c>
      <c r="E284" s="389"/>
      <c r="F284" s="389">
        <v>3.2</v>
      </c>
      <c r="G284" s="390">
        <v>1</v>
      </c>
      <c r="H284" s="389">
        <f t="shared" si="26"/>
        <v>21.44</v>
      </c>
      <c r="I284" s="481"/>
      <c r="J284" s="399"/>
      <c r="K284" s="399" t="s">
        <v>3</v>
      </c>
      <c r="L284" s="483">
        <f t="shared" si="27"/>
        <v>21.44</v>
      </c>
    </row>
    <row r="285" spans="2:12" ht="14.4" x14ac:dyDescent="0.25">
      <c r="B285" s="217" t="s">
        <v>482</v>
      </c>
      <c r="C285" s="398"/>
      <c r="D285" s="483">
        <v>6.53</v>
      </c>
      <c r="E285" s="389"/>
      <c r="F285" s="389">
        <v>3.2</v>
      </c>
      <c r="G285" s="390">
        <v>1</v>
      </c>
      <c r="H285" s="389">
        <f t="shared" si="26"/>
        <v>20.896000000000001</v>
      </c>
      <c r="I285" s="481"/>
      <c r="J285" s="399"/>
      <c r="K285" s="399" t="s">
        <v>3</v>
      </c>
      <c r="L285" s="483">
        <f t="shared" si="27"/>
        <v>20.896000000000001</v>
      </c>
    </row>
    <row r="286" spans="2:12" ht="14.4" x14ac:dyDescent="0.25">
      <c r="B286" s="217" t="s">
        <v>484</v>
      </c>
      <c r="C286" s="398"/>
      <c r="D286" s="483">
        <v>3.6</v>
      </c>
      <c r="E286" s="389"/>
      <c r="F286" s="389">
        <v>3.2</v>
      </c>
      <c r="G286" s="390">
        <v>1</v>
      </c>
      <c r="H286" s="389">
        <f t="shared" si="26"/>
        <v>11.520000000000001</v>
      </c>
      <c r="I286" s="481"/>
      <c r="J286" s="399"/>
      <c r="K286" s="399" t="s">
        <v>3</v>
      </c>
      <c r="L286" s="483">
        <f t="shared" si="27"/>
        <v>11.520000000000001</v>
      </c>
    </row>
    <row r="287" spans="2:12" ht="14.4" x14ac:dyDescent="0.25">
      <c r="B287" s="21" t="s">
        <v>564</v>
      </c>
      <c r="C287" s="12"/>
      <c r="D287" s="35">
        <f>SUM(D277:D286)</f>
        <v>57.010000000000005</v>
      </c>
      <c r="E287" s="459"/>
      <c r="F287" s="10"/>
      <c r="G287" s="22"/>
      <c r="H287" s="19"/>
      <c r="I287" s="19"/>
      <c r="J287" s="19"/>
      <c r="K287" s="23" t="s">
        <v>3</v>
      </c>
      <c r="L287" s="13">
        <f>SUM(L277:L286)</f>
        <v>182.43200000000004</v>
      </c>
    </row>
    <row r="288" spans="2:12" ht="15.6" x14ac:dyDescent="0.25">
      <c r="B288" s="545" t="s">
        <v>645</v>
      </c>
      <c r="C288" s="546"/>
      <c r="D288" s="547"/>
      <c r="E288" s="547"/>
      <c r="F288" s="547"/>
      <c r="G288" s="546"/>
      <c r="H288" s="548"/>
      <c r="I288" s="549"/>
      <c r="J288" s="548"/>
      <c r="K288" s="548"/>
      <c r="L288" s="550"/>
    </row>
    <row r="289" spans="2:12" ht="15.6" x14ac:dyDescent="0.25">
      <c r="B289" s="59" t="s">
        <v>686</v>
      </c>
      <c r="C289" s="119"/>
      <c r="D289" s="120"/>
      <c r="E289" s="119"/>
      <c r="F289" s="121"/>
      <c r="G289" s="122"/>
      <c r="H289" s="123"/>
      <c r="I289" s="123"/>
      <c r="J289" s="123"/>
      <c r="K289" s="124"/>
      <c r="L289" s="125"/>
    </row>
    <row r="290" spans="2:12" ht="14.4" x14ac:dyDescent="0.25">
      <c r="B290" s="822" t="s">
        <v>1</v>
      </c>
      <c r="C290" s="55" t="s">
        <v>0</v>
      </c>
      <c r="D290" s="52" t="s">
        <v>12</v>
      </c>
      <c r="E290" s="52" t="s">
        <v>4</v>
      </c>
      <c r="F290" s="52" t="s">
        <v>2</v>
      </c>
      <c r="G290" s="52" t="s">
        <v>6</v>
      </c>
      <c r="H290" s="148" t="s">
        <v>5</v>
      </c>
      <c r="I290" s="56" t="s">
        <v>13</v>
      </c>
      <c r="J290" s="148" t="s">
        <v>14</v>
      </c>
      <c r="K290" s="822" t="s">
        <v>7</v>
      </c>
      <c r="L290" s="824" t="s">
        <v>8</v>
      </c>
    </row>
    <row r="291" spans="2:12" ht="14.4" x14ac:dyDescent="0.3">
      <c r="B291" s="823"/>
      <c r="C291" s="80" t="s">
        <v>9</v>
      </c>
      <c r="D291" s="81" t="s">
        <v>10</v>
      </c>
      <c r="E291" s="81" t="s">
        <v>10</v>
      </c>
      <c r="F291" s="81" t="s">
        <v>10</v>
      </c>
      <c r="G291" s="80" t="s">
        <v>9</v>
      </c>
      <c r="H291" s="82" t="s">
        <v>11</v>
      </c>
      <c r="I291" s="113" t="s">
        <v>11</v>
      </c>
      <c r="J291" s="82" t="s">
        <v>15</v>
      </c>
      <c r="K291" s="823"/>
      <c r="L291" s="825"/>
    </row>
    <row r="292" spans="2:12" ht="14.4" x14ac:dyDescent="0.3">
      <c r="B292" s="20" t="s">
        <v>687</v>
      </c>
      <c r="C292" s="381"/>
      <c r="D292" s="382"/>
      <c r="E292" s="382"/>
      <c r="F292" s="382"/>
      <c r="G292" s="381"/>
      <c r="H292" s="383"/>
      <c r="I292" s="384"/>
      <c r="J292" s="383"/>
      <c r="K292" s="383"/>
      <c r="L292" s="7"/>
    </row>
    <row r="293" spans="2:12" ht="14.4" x14ac:dyDescent="0.25">
      <c r="B293" s="217" t="s">
        <v>485</v>
      </c>
      <c r="C293" s="398"/>
      <c r="D293" s="483">
        <v>32.61</v>
      </c>
      <c r="E293" s="389"/>
      <c r="F293" s="389">
        <v>3.47</v>
      </c>
      <c r="G293" s="390">
        <v>1</v>
      </c>
      <c r="H293" s="389">
        <f t="shared" ref="H293" si="28">D293*F293*G293-I293</f>
        <v>113.1567</v>
      </c>
      <c r="I293" s="481"/>
      <c r="J293" s="399"/>
      <c r="K293" s="399" t="s">
        <v>3</v>
      </c>
      <c r="L293" s="483">
        <f>H293</f>
        <v>113.1567</v>
      </c>
    </row>
    <row r="294" spans="2:12" ht="14.4" x14ac:dyDescent="0.25">
      <c r="B294" s="217"/>
      <c r="C294" s="398"/>
      <c r="D294" s="389"/>
      <c r="E294" s="389"/>
      <c r="F294" s="389"/>
      <c r="G294" s="390"/>
      <c r="H294" s="389"/>
      <c r="I294" s="481"/>
      <c r="J294" s="399"/>
      <c r="K294" s="399"/>
      <c r="L294" s="389"/>
    </row>
    <row r="295" spans="2:12" ht="14.4" x14ac:dyDescent="0.25">
      <c r="B295" s="21" t="s">
        <v>564</v>
      </c>
      <c r="C295" s="12"/>
      <c r="D295" s="35">
        <f>SUM(D293:D294)</f>
        <v>32.61</v>
      </c>
      <c r="E295" s="459"/>
      <c r="F295" s="10"/>
      <c r="G295" s="22"/>
      <c r="H295" s="19"/>
      <c r="I295" s="19"/>
      <c r="J295" s="19"/>
      <c r="K295" s="23" t="s">
        <v>3</v>
      </c>
      <c r="L295" s="13">
        <f>SUM(L293:L294)</f>
        <v>113.1567</v>
      </c>
    </row>
    <row r="296" spans="2:12" ht="15.6" x14ac:dyDescent="0.25">
      <c r="B296" s="539" t="s">
        <v>644</v>
      </c>
      <c r="C296" s="540"/>
      <c r="D296" s="541"/>
      <c r="E296" s="541"/>
      <c r="F296" s="541"/>
      <c r="G296" s="540"/>
      <c r="H296" s="542"/>
      <c r="I296" s="543"/>
      <c r="J296" s="542"/>
      <c r="K296" s="542"/>
      <c r="L296" s="544"/>
    </row>
    <row r="297" spans="2:12" ht="15.6" x14ac:dyDescent="0.25">
      <c r="B297" s="59" t="s">
        <v>59</v>
      </c>
      <c r="C297" s="119"/>
      <c r="D297" s="120"/>
      <c r="E297" s="119"/>
      <c r="F297" s="121"/>
      <c r="G297" s="122"/>
      <c r="H297" s="123"/>
      <c r="I297" s="123"/>
      <c r="J297" s="123"/>
      <c r="K297" s="124"/>
      <c r="L297" s="125"/>
    </row>
    <row r="298" spans="2:12" ht="14.4" customHeight="1" x14ac:dyDescent="0.25">
      <c r="B298" s="822" t="s">
        <v>1</v>
      </c>
      <c r="C298" s="55" t="s">
        <v>0</v>
      </c>
      <c r="D298" s="52" t="s">
        <v>12</v>
      </c>
      <c r="E298" s="52" t="s">
        <v>4</v>
      </c>
      <c r="F298" s="52" t="s">
        <v>2</v>
      </c>
      <c r="G298" s="52" t="s">
        <v>6</v>
      </c>
      <c r="H298" s="148" t="s">
        <v>5</v>
      </c>
      <c r="I298" s="56" t="s">
        <v>13</v>
      </c>
      <c r="J298" s="148" t="s">
        <v>14</v>
      </c>
      <c r="K298" s="822" t="s">
        <v>7</v>
      </c>
      <c r="L298" s="824" t="s">
        <v>8</v>
      </c>
    </row>
    <row r="299" spans="2:12" ht="14.4" x14ac:dyDescent="0.3">
      <c r="B299" s="823"/>
      <c r="C299" s="80" t="s">
        <v>9</v>
      </c>
      <c r="D299" s="81" t="s">
        <v>10</v>
      </c>
      <c r="E299" s="81" t="s">
        <v>10</v>
      </c>
      <c r="F299" s="81" t="s">
        <v>10</v>
      </c>
      <c r="G299" s="80" t="s">
        <v>9</v>
      </c>
      <c r="H299" s="82" t="s">
        <v>11</v>
      </c>
      <c r="I299" s="113" t="s">
        <v>11</v>
      </c>
      <c r="J299" s="82" t="s">
        <v>15</v>
      </c>
      <c r="K299" s="823"/>
      <c r="L299" s="825"/>
    </row>
    <row r="300" spans="2:12" ht="14.4" x14ac:dyDescent="0.3">
      <c r="B300" s="20" t="s">
        <v>696</v>
      </c>
      <c r="C300" s="381"/>
      <c r="D300" s="382"/>
      <c r="E300" s="382"/>
      <c r="F300" s="382"/>
      <c r="G300" s="381"/>
      <c r="H300" s="383"/>
      <c r="I300" s="384"/>
      <c r="J300" s="383"/>
      <c r="K300" s="383"/>
      <c r="L300" s="7"/>
    </row>
    <row r="301" spans="2:12" ht="14.4" x14ac:dyDescent="0.3">
      <c r="B301" s="217" t="s">
        <v>475</v>
      </c>
      <c r="C301" s="385"/>
      <c r="D301" s="386">
        <v>1.48</v>
      </c>
      <c r="E301" s="386"/>
      <c r="F301" s="386">
        <v>3.89</v>
      </c>
      <c r="G301" s="390">
        <v>1</v>
      </c>
      <c r="H301" s="389">
        <f t="shared" ref="H301" si="29">D301*F301*G301-I301</f>
        <v>1.9072</v>
      </c>
      <c r="I301" s="500">
        <v>3.85</v>
      </c>
      <c r="J301" s="387"/>
      <c r="K301" s="387" t="s">
        <v>3</v>
      </c>
      <c r="L301" s="389">
        <f t="shared" ref="L301" si="30">H301</f>
        <v>1.9072</v>
      </c>
    </row>
    <row r="302" spans="2:12" ht="14.4" x14ac:dyDescent="0.25">
      <c r="B302" s="217" t="s">
        <v>479</v>
      </c>
      <c r="C302" s="398"/>
      <c r="D302" s="389">
        <v>2.57</v>
      </c>
      <c r="E302" s="389"/>
      <c r="F302" s="389">
        <v>3.89</v>
      </c>
      <c r="G302" s="390">
        <v>1</v>
      </c>
      <c r="H302" s="389">
        <f t="shared" ref="H302:H339" si="31">D302*F302*G302-I302</f>
        <v>3.8872999999999989</v>
      </c>
      <c r="I302" s="483">
        <v>6.11</v>
      </c>
      <c r="J302" s="399"/>
      <c r="K302" s="399" t="s">
        <v>3</v>
      </c>
      <c r="L302" s="389">
        <f>H302</f>
        <v>3.8872999999999989</v>
      </c>
    </row>
    <row r="303" spans="2:12" ht="14.4" x14ac:dyDescent="0.25">
      <c r="B303" s="217" t="s">
        <v>480</v>
      </c>
      <c r="C303" s="398"/>
      <c r="D303" s="389">
        <v>0.35</v>
      </c>
      <c r="E303" s="389"/>
      <c r="F303" s="389">
        <v>3.89</v>
      </c>
      <c r="G303" s="390">
        <v>1</v>
      </c>
      <c r="H303" s="389">
        <f t="shared" si="31"/>
        <v>1.3614999999999999</v>
      </c>
      <c r="I303" s="483"/>
      <c r="J303" s="399"/>
      <c r="K303" s="399" t="s">
        <v>3</v>
      </c>
      <c r="L303" s="389">
        <f>H303</f>
        <v>1.3614999999999999</v>
      </c>
    </row>
    <row r="304" spans="2:12" ht="14.4" x14ac:dyDescent="0.25">
      <c r="B304" s="217" t="s">
        <v>481</v>
      </c>
      <c r="C304" s="398"/>
      <c r="D304" s="389">
        <v>4.5999999999999996</v>
      </c>
      <c r="E304" s="389"/>
      <c r="F304" s="389">
        <v>3.89</v>
      </c>
      <c r="G304" s="390">
        <v>1</v>
      </c>
      <c r="H304" s="389">
        <f t="shared" si="31"/>
        <v>7.5739999999999981</v>
      </c>
      <c r="I304" s="483">
        <v>10.32</v>
      </c>
      <c r="J304" s="399"/>
      <c r="K304" s="399" t="s">
        <v>3</v>
      </c>
      <c r="L304" s="389">
        <f t="shared" ref="L304:L339" si="32">H304</f>
        <v>7.5739999999999981</v>
      </c>
    </row>
    <row r="305" spans="2:12" ht="14.4" x14ac:dyDescent="0.25">
      <c r="B305" s="217" t="s">
        <v>482</v>
      </c>
      <c r="C305" s="398"/>
      <c r="D305" s="389">
        <v>0.5</v>
      </c>
      <c r="E305" s="389"/>
      <c r="F305" s="389">
        <v>3.89</v>
      </c>
      <c r="G305" s="390">
        <v>1</v>
      </c>
      <c r="H305" s="389">
        <f t="shared" si="31"/>
        <v>1.9450000000000001</v>
      </c>
      <c r="I305" s="483"/>
      <c r="J305" s="399"/>
      <c r="K305" s="399" t="s">
        <v>3</v>
      </c>
      <c r="L305" s="389">
        <f t="shared" si="32"/>
        <v>1.9450000000000001</v>
      </c>
    </row>
    <row r="306" spans="2:12" ht="14.4" x14ac:dyDescent="0.25">
      <c r="B306" s="217" t="s">
        <v>483</v>
      </c>
      <c r="C306" s="398"/>
      <c r="D306" s="389">
        <v>3.25</v>
      </c>
      <c r="E306" s="389"/>
      <c r="F306" s="389">
        <v>3.89</v>
      </c>
      <c r="G306" s="390">
        <v>1</v>
      </c>
      <c r="H306" s="389">
        <f t="shared" si="31"/>
        <v>9.9124999999999996</v>
      </c>
      <c r="I306" s="483">
        <v>2.73</v>
      </c>
      <c r="J306" s="399"/>
      <c r="K306" s="399" t="s">
        <v>3</v>
      </c>
      <c r="L306" s="389">
        <f t="shared" si="32"/>
        <v>9.9124999999999996</v>
      </c>
    </row>
    <row r="307" spans="2:12" ht="14.4" x14ac:dyDescent="0.25">
      <c r="B307" s="217" t="s">
        <v>485</v>
      </c>
      <c r="C307" s="398"/>
      <c r="D307" s="389">
        <v>1.88</v>
      </c>
      <c r="E307" s="389"/>
      <c r="F307" s="389">
        <v>3.89</v>
      </c>
      <c r="G307" s="390">
        <v>1</v>
      </c>
      <c r="H307" s="389">
        <f t="shared" si="31"/>
        <v>7.3132000000000001</v>
      </c>
      <c r="I307" s="483"/>
      <c r="J307" s="399"/>
      <c r="K307" s="399" t="s">
        <v>3</v>
      </c>
      <c r="L307" s="389">
        <f t="shared" si="32"/>
        <v>7.3132000000000001</v>
      </c>
    </row>
    <row r="308" spans="2:12" ht="14.4" x14ac:dyDescent="0.25">
      <c r="B308" s="217" t="s">
        <v>488</v>
      </c>
      <c r="C308" s="398"/>
      <c r="D308" s="389">
        <v>3.06</v>
      </c>
      <c r="E308" s="389"/>
      <c r="F308" s="389">
        <v>3.89</v>
      </c>
      <c r="G308" s="390">
        <v>2</v>
      </c>
      <c r="H308" s="389">
        <f t="shared" si="31"/>
        <v>23.806800000000003</v>
      </c>
      <c r="I308" s="483"/>
      <c r="J308" s="399"/>
      <c r="K308" s="399" t="s">
        <v>3</v>
      </c>
      <c r="L308" s="389">
        <f t="shared" si="32"/>
        <v>23.806800000000003</v>
      </c>
    </row>
    <row r="309" spans="2:12" ht="14.4" x14ac:dyDescent="0.25">
      <c r="B309" s="217" t="s">
        <v>491</v>
      </c>
      <c r="C309" s="398"/>
      <c r="D309" s="389">
        <v>6.85</v>
      </c>
      <c r="E309" s="389"/>
      <c r="F309" s="389">
        <v>3.89</v>
      </c>
      <c r="G309" s="390">
        <v>1</v>
      </c>
      <c r="H309" s="389">
        <f t="shared" si="31"/>
        <v>26.6465</v>
      </c>
      <c r="I309" s="483"/>
      <c r="J309" s="399"/>
      <c r="K309" s="399" t="s">
        <v>3</v>
      </c>
      <c r="L309" s="389">
        <f t="shared" si="32"/>
        <v>26.6465</v>
      </c>
    </row>
    <row r="310" spans="2:12" ht="14.4" x14ac:dyDescent="0.25">
      <c r="B310" s="217" t="s">
        <v>492</v>
      </c>
      <c r="C310" s="398"/>
      <c r="D310" s="389">
        <v>5.21</v>
      </c>
      <c r="E310" s="389"/>
      <c r="F310" s="389">
        <v>3.89</v>
      </c>
      <c r="G310" s="390">
        <v>1</v>
      </c>
      <c r="H310" s="389">
        <f t="shared" si="31"/>
        <v>20.2669</v>
      </c>
      <c r="I310" s="483"/>
      <c r="J310" s="399"/>
      <c r="K310" s="399" t="s">
        <v>3</v>
      </c>
      <c r="L310" s="389">
        <f t="shared" si="32"/>
        <v>20.2669</v>
      </c>
    </row>
    <row r="311" spans="2:12" ht="14.4" x14ac:dyDescent="0.25">
      <c r="B311" s="217" t="s">
        <v>493</v>
      </c>
      <c r="C311" s="398"/>
      <c r="D311" s="389">
        <v>7.3</v>
      </c>
      <c r="E311" s="389"/>
      <c r="F311" s="389">
        <v>3.89</v>
      </c>
      <c r="G311" s="390">
        <v>1</v>
      </c>
      <c r="H311" s="389">
        <f t="shared" si="31"/>
        <v>28.396999999999998</v>
      </c>
      <c r="I311" s="483"/>
      <c r="J311" s="399"/>
      <c r="K311" s="399" t="s">
        <v>3</v>
      </c>
      <c r="L311" s="389">
        <f t="shared" si="32"/>
        <v>28.396999999999998</v>
      </c>
    </row>
    <row r="312" spans="2:12" ht="14.4" x14ac:dyDescent="0.25">
      <c r="B312" s="217" t="s">
        <v>494</v>
      </c>
      <c r="C312" s="398"/>
      <c r="D312" s="389">
        <v>7.34</v>
      </c>
      <c r="E312" s="389"/>
      <c r="F312" s="389">
        <v>3.89</v>
      </c>
      <c r="G312" s="390">
        <v>1</v>
      </c>
      <c r="H312" s="389">
        <f t="shared" si="31"/>
        <v>28.552600000000002</v>
      </c>
      <c r="I312" s="483"/>
      <c r="J312" s="399"/>
      <c r="K312" s="399" t="s">
        <v>3</v>
      </c>
      <c r="L312" s="389">
        <f t="shared" si="32"/>
        <v>28.552600000000002</v>
      </c>
    </row>
    <row r="313" spans="2:12" ht="14.4" x14ac:dyDescent="0.25">
      <c r="B313" s="217" t="s">
        <v>495</v>
      </c>
      <c r="C313" s="398"/>
      <c r="D313" s="389">
        <v>1.52</v>
      </c>
      <c r="E313" s="389"/>
      <c r="F313" s="389">
        <v>3.89</v>
      </c>
      <c r="G313" s="390">
        <v>1</v>
      </c>
      <c r="H313" s="389">
        <f t="shared" si="31"/>
        <v>5.9127999999999998</v>
      </c>
      <c r="I313" s="483"/>
      <c r="J313" s="399"/>
      <c r="K313" s="399" t="s">
        <v>3</v>
      </c>
      <c r="L313" s="389">
        <f t="shared" si="32"/>
        <v>5.9127999999999998</v>
      </c>
    </row>
    <row r="314" spans="2:12" ht="14.4" x14ac:dyDescent="0.25">
      <c r="B314" s="217" t="s">
        <v>497</v>
      </c>
      <c r="C314" s="398"/>
      <c r="D314" s="389">
        <v>4.32</v>
      </c>
      <c r="E314" s="389"/>
      <c r="F314" s="389">
        <v>3.89</v>
      </c>
      <c r="G314" s="390">
        <v>1</v>
      </c>
      <c r="H314" s="389">
        <f t="shared" si="31"/>
        <v>16.8048</v>
      </c>
      <c r="I314" s="483"/>
      <c r="J314" s="399"/>
      <c r="K314" s="399" t="s">
        <v>3</v>
      </c>
      <c r="L314" s="389">
        <f t="shared" si="32"/>
        <v>16.8048</v>
      </c>
    </row>
    <row r="315" spans="2:12" ht="14.4" x14ac:dyDescent="0.25">
      <c r="B315" s="217" t="s">
        <v>498</v>
      </c>
      <c r="C315" s="398"/>
      <c r="D315" s="389">
        <v>4.4000000000000004</v>
      </c>
      <c r="E315" s="389"/>
      <c r="F315" s="389">
        <v>3.89</v>
      </c>
      <c r="G315" s="390">
        <v>1</v>
      </c>
      <c r="H315" s="389">
        <f t="shared" si="31"/>
        <v>17.116000000000003</v>
      </c>
      <c r="I315" s="483"/>
      <c r="J315" s="399"/>
      <c r="K315" s="399" t="s">
        <v>3</v>
      </c>
      <c r="L315" s="389">
        <f t="shared" si="32"/>
        <v>17.116000000000003</v>
      </c>
    </row>
    <row r="316" spans="2:12" ht="14.4" x14ac:dyDescent="0.25">
      <c r="B316" s="217" t="s">
        <v>499</v>
      </c>
      <c r="C316" s="398"/>
      <c r="D316" s="389">
        <v>8</v>
      </c>
      <c r="E316" s="389"/>
      <c r="F316" s="389">
        <v>3.89</v>
      </c>
      <c r="G316" s="390">
        <v>1</v>
      </c>
      <c r="H316" s="389">
        <f t="shared" si="31"/>
        <v>31.12</v>
      </c>
      <c r="I316" s="483"/>
      <c r="J316" s="399"/>
      <c r="K316" s="399" t="s">
        <v>3</v>
      </c>
      <c r="L316" s="389">
        <f t="shared" si="32"/>
        <v>31.12</v>
      </c>
    </row>
    <row r="317" spans="2:12" ht="14.4" x14ac:dyDescent="0.25">
      <c r="B317" s="217" t="s">
        <v>500</v>
      </c>
      <c r="C317" s="398"/>
      <c r="D317" s="389">
        <v>5.78</v>
      </c>
      <c r="E317" s="389"/>
      <c r="F317" s="389">
        <v>3.89</v>
      </c>
      <c r="G317" s="390">
        <v>1</v>
      </c>
      <c r="H317" s="389">
        <f t="shared" si="31"/>
        <v>22.484200000000001</v>
      </c>
      <c r="I317" s="483"/>
      <c r="J317" s="399"/>
      <c r="K317" s="399" t="s">
        <v>3</v>
      </c>
      <c r="L317" s="389">
        <f t="shared" si="32"/>
        <v>22.484200000000001</v>
      </c>
    </row>
    <row r="318" spans="2:12" ht="14.4" x14ac:dyDescent="0.25">
      <c r="B318" s="217" t="s">
        <v>501</v>
      </c>
      <c r="C318" s="398"/>
      <c r="D318" s="389">
        <v>6.86</v>
      </c>
      <c r="E318" s="389"/>
      <c r="F318" s="389">
        <v>3.89</v>
      </c>
      <c r="G318" s="390">
        <v>1</v>
      </c>
      <c r="H318" s="389">
        <f t="shared" si="31"/>
        <v>26.685400000000001</v>
      </c>
      <c r="I318" s="483"/>
      <c r="J318" s="399"/>
      <c r="K318" s="399" t="s">
        <v>3</v>
      </c>
      <c r="L318" s="389">
        <f t="shared" si="32"/>
        <v>26.685400000000001</v>
      </c>
    </row>
    <row r="319" spans="2:12" ht="14.4" x14ac:dyDescent="0.25">
      <c r="B319" s="217" t="s">
        <v>502</v>
      </c>
      <c r="C319" s="398"/>
      <c r="D319" s="389">
        <v>1.5</v>
      </c>
      <c r="E319" s="389"/>
      <c r="F319" s="389">
        <v>3.89</v>
      </c>
      <c r="G319" s="390">
        <v>1</v>
      </c>
      <c r="H319" s="389">
        <f t="shared" si="31"/>
        <v>5.835</v>
      </c>
      <c r="I319" s="483"/>
      <c r="J319" s="399"/>
      <c r="K319" s="399" t="s">
        <v>3</v>
      </c>
      <c r="L319" s="389">
        <f t="shared" si="32"/>
        <v>5.835</v>
      </c>
    </row>
    <row r="320" spans="2:12" ht="14.4" x14ac:dyDescent="0.25">
      <c r="B320" s="217" t="s">
        <v>505</v>
      </c>
      <c r="C320" s="398"/>
      <c r="D320" s="389">
        <v>3</v>
      </c>
      <c r="E320" s="389"/>
      <c r="F320" s="389">
        <v>3.89</v>
      </c>
      <c r="G320" s="390">
        <v>1</v>
      </c>
      <c r="H320" s="389">
        <f t="shared" si="31"/>
        <v>11.67</v>
      </c>
      <c r="I320" s="483"/>
      <c r="J320" s="399"/>
      <c r="K320" s="399" t="s">
        <v>3</v>
      </c>
      <c r="L320" s="389">
        <f t="shared" si="32"/>
        <v>11.67</v>
      </c>
    </row>
    <row r="321" spans="2:12" ht="14.4" x14ac:dyDescent="0.25">
      <c r="B321" s="217" t="s">
        <v>508</v>
      </c>
      <c r="C321" s="398"/>
      <c r="D321" s="389">
        <v>5.23</v>
      </c>
      <c r="E321" s="389"/>
      <c r="F321" s="389">
        <v>3.89</v>
      </c>
      <c r="G321" s="390">
        <v>1</v>
      </c>
      <c r="H321" s="389">
        <f t="shared" si="31"/>
        <v>20.344700000000003</v>
      </c>
      <c r="I321" s="483"/>
      <c r="J321" s="399"/>
      <c r="K321" s="399" t="s">
        <v>3</v>
      </c>
      <c r="L321" s="389">
        <f t="shared" si="32"/>
        <v>20.344700000000003</v>
      </c>
    </row>
    <row r="322" spans="2:12" ht="14.4" x14ac:dyDescent="0.25">
      <c r="B322" s="217" t="s">
        <v>509</v>
      </c>
      <c r="C322" s="398"/>
      <c r="D322" s="389">
        <v>1.3</v>
      </c>
      <c r="E322" s="389"/>
      <c r="F322" s="389">
        <v>3.89</v>
      </c>
      <c r="G322" s="390">
        <v>1</v>
      </c>
      <c r="H322" s="389">
        <f t="shared" si="31"/>
        <v>5.0570000000000004</v>
      </c>
      <c r="I322" s="483"/>
      <c r="J322" s="399"/>
      <c r="K322" s="399" t="s">
        <v>3</v>
      </c>
      <c r="L322" s="389">
        <f t="shared" si="32"/>
        <v>5.0570000000000004</v>
      </c>
    </row>
    <row r="323" spans="2:12" ht="14.4" x14ac:dyDescent="0.25">
      <c r="B323" s="217" t="s">
        <v>514</v>
      </c>
      <c r="C323" s="398"/>
      <c r="D323" s="389">
        <v>3.04</v>
      </c>
      <c r="E323" s="389"/>
      <c r="F323" s="389">
        <v>3.89</v>
      </c>
      <c r="G323" s="390">
        <v>1</v>
      </c>
      <c r="H323" s="389">
        <f t="shared" si="31"/>
        <v>11.8256</v>
      </c>
      <c r="I323" s="483"/>
      <c r="J323" s="399"/>
      <c r="K323" s="399" t="s">
        <v>3</v>
      </c>
      <c r="L323" s="389">
        <f t="shared" si="32"/>
        <v>11.8256</v>
      </c>
    </row>
    <row r="324" spans="2:12" ht="14.4" x14ac:dyDescent="0.25">
      <c r="B324" s="217" t="s">
        <v>515</v>
      </c>
      <c r="C324" s="398"/>
      <c r="D324" s="389">
        <v>7.65</v>
      </c>
      <c r="E324" s="389"/>
      <c r="F324" s="389">
        <v>3.89</v>
      </c>
      <c r="G324" s="390">
        <v>1</v>
      </c>
      <c r="H324" s="389">
        <f t="shared" si="31"/>
        <v>29.758500000000002</v>
      </c>
      <c r="I324" s="483"/>
      <c r="J324" s="399"/>
      <c r="K324" s="399" t="s">
        <v>3</v>
      </c>
      <c r="L324" s="389">
        <f t="shared" si="32"/>
        <v>29.758500000000002</v>
      </c>
    </row>
    <row r="325" spans="2:12" ht="14.4" x14ac:dyDescent="0.25">
      <c r="B325" s="217" t="s">
        <v>516</v>
      </c>
      <c r="C325" s="398"/>
      <c r="D325" s="389">
        <v>6.39</v>
      </c>
      <c r="E325" s="389"/>
      <c r="F325" s="389">
        <v>3.89</v>
      </c>
      <c r="G325" s="390">
        <v>1</v>
      </c>
      <c r="H325" s="389">
        <f t="shared" si="31"/>
        <v>8.5370999999999988</v>
      </c>
      <c r="I325" s="483">
        <v>16.32</v>
      </c>
      <c r="J325" s="399"/>
      <c r="K325" s="399" t="s">
        <v>3</v>
      </c>
      <c r="L325" s="389">
        <f t="shared" si="32"/>
        <v>8.5370999999999988</v>
      </c>
    </row>
    <row r="326" spans="2:12" ht="14.4" x14ac:dyDescent="0.25">
      <c r="B326" s="217" t="s">
        <v>517</v>
      </c>
      <c r="C326" s="398"/>
      <c r="D326" s="389">
        <v>0.51</v>
      </c>
      <c r="E326" s="389"/>
      <c r="F326" s="389">
        <v>3.89</v>
      </c>
      <c r="G326" s="390">
        <v>1</v>
      </c>
      <c r="H326" s="389">
        <f t="shared" si="31"/>
        <v>1.9839</v>
      </c>
      <c r="I326" s="483"/>
      <c r="J326" s="399"/>
      <c r="K326" s="399" t="s">
        <v>3</v>
      </c>
      <c r="L326" s="389">
        <f t="shared" si="32"/>
        <v>1.9839</v>
      </c>
    </row>
    <row r="327" spans="2:12" ht="14.4" x14ac:dyDescent="0.25">
      <c r="B327" s="217" t="s">
        <v>521</v>
      </c>
      <c r="C327" s="398"/>
      <c r="D327" s="389">
        <v>3</v>
      </c>
      <c r="E327" s="389"/>
      <c r="F327" s="389">
        <v>3.89</v>
      </c>
      <c r="G327" s="390">
        <v>6</v>
      </c>
      <c r="H327" s="389">
        <f t="shared" si="31"/>
        <v>62.22</v>
      </c>
      <c r="I327" s="483">
        <v>7.8</v>
      </c>
      <c r="J327" s="399"/>
      <c r="K327" s="399" t="s">
        <v>3</v>
      </c>
      <c r="L327" s="389">
        <f t="shared" si="32"/>
        <v>62.22</v>
      </c>
    </row>
    <row r="328" spans="2:12" ht="14.4" x14ac:dyDescent="0.25">
      <c r="B328" s="217" t="s">
        <v>522</v>
      </c>
      <c r="C328" s="398"/>
      <c r="D328" s="389">
        <v>3.15</v>
      </c>
      <c r="E328" s="389"/>
      <c r="F328" s="389">
        <v>3.89</v>
      </c>
      <c r="G328" s="390">
        <v>1</v>
      </c>
      <c r="H328" s="389">
        <f t="shared" si="31"/>
        <v>12.253500000000001</v>
      </c>
      <c r="I328" s="483"/>
      <c r="J328" s="399"/>
      <c r="K328" s="399" t="s">
        <v>3</v>
      </c>
      <c r="L328" s="389">
        <f t="shared" si="32"/>
        <v>12.253500000000001</v>
      </c>
    </row>
    <row r="329" spans="2:12" ht="14.4" x14ac:dyDescent="0.25">
      <c r="B329" s="217" t="s">
        <v>523</v>
      </c>
      <c r="C329" s="398"/>
      <c r="D329" s="389">
        <v>1.35</v>
      </c>
      <c r="E329" s="389"/>
      <c r="F329" s="389">
        <v>3.89</v>
      </c>
      <c r="G329" s="390">
        <v>1</v>
      </c>
      <c r="H329" s="389">
        <f t="shared" si="31"/>
        <v>5.2515000000000009</v>
      </c>
      <c r="I329" s="483"/>
      <c r="J329" s="399"/>
      <c r="K329" s="399" t="s">
        <v>3</v>
      </c>
      <c r="L329" s="389">
        <f t="shared" si="32"/>
        <v>5.2515000000000009</v>
      </c>
    </row>
    <row r="330" spans="2:12" ht="14.4" x14ac:dyDescent="0.25">
      <c r="B330" s="217" t="s">
        <v>528</v>
      </c>
      <c r="C330" s="398"/>
      <c r="D330" s="389">
        <v>12.53</v>
      </c>
      <c r="E330" s="389"/>
      <c r="F330" s="389">
        <v>3.89</v>
      </c>
      <c r="G330" s="390">
        <v>1</v>
      </c>
      <c r="H330" s="389">
        <f t="shared" si="31"/>
        <v>43.481700000000004</v>
      </c>
      <c r="I330" s="483">
        <v>5.26</v>
      </c>
      <c r="J330" s="399"/>
      <c r="K330" s="399" t="s">
        <v>3</v>
      </c>
      <c r="L330" s="389">
        <f t="shared" si="32"/>
        <v>43.481700000000004</v>
      </c>
    </row>
    <row r="331" spans="2:12" ht="14.4" x14ac:dyDescent="0.25">
      <c r="B331" s="217" t="s">
        <v>532</v>
      </c>
      <c r="C331" s="398"/>
      <c r="D331" s="389">
        <v>2.93</v>
      </c>
      <c r="E331" s="389"/>
      <c r="F331" s="389">
        <v>3.89</v>
      </c>
      <c r="G331" s="390">
        <v>2</v>
      </c>
      <c r="H331" s="389">
        <f t="shared" si="31"/>
        <v>22.795400000000001</v>
      </c>
      <c r="I331" s="483"/>
      <c r="J331" s="399"/>
      <c r="K331" s="399" t="s">
        <v>3</v>
      </c>
      <c r="L331" s="389">
        <f t="shared" si="32"/>
        <v>22.795400000000001</v>
      </c>
    </row>
    <row r="332" spans="2:12" ht="14.4" x14ac:dyDescent="0.25">
      <c r="B332" s="217" t="s">
        <v>533</v>
      </c>
      <c r="C332" s="398"/>
      <c r="D332" s="389">
        <v>6.02</v>
      </c>
      <c r="E332" s="389"/>
      <c r="F332" s="389">
        <v>3.89</v>
      </c>
      <c r="G332" s="390">
        <v>1</v>
      </c>
      <c r="H332" s="389">
        <f t="shared" si="31"/>
        <v>23.4178</v>
      </c>
      <c r="I332" s="483"/>
      <c r="J332" s="399"/>
      <c r="K332" s="399" t="s">
        <v>3</v>
      </c>
      <c r="L332" s="389">
        <f t="shared" si="32"/>
        <v>23.4178</v>
      </c>
    </row>
    <row r="333" spans="2:12" ht="14.4" x14ac:dyDescent="0.25">
      <c r="B333" s="217" t="s">
        <v>534</v>
      </c>
      <c r="C333" s="398"/>
      <c r="D333" s="389">
        <v>2.78</v>
      </c>
      <c r="E333" s="389"/>
      <c r="F333" s="389">
        <v>3.89</v>
      </c>
      <c r="G333" s="390">
        <v>6</v>
      </c>
      <c r="H333" s="389">
        <f t="shared" si="31"/>
        <v>64.885199999999998</v>
      </c>
      <c r="I333" s="483"/>
      <c r="J333" s="399"/>
      <c r="K333" s="399" t="s">
        <v>3</v>
      </c>
      <c r="L333" s="389">
        <f t="shared" si="32"/>
        <v>64.885199999999998</v>
      </c>
    </row>
    <row r="334" spans="2:12" ht="14.4" x14ac:dyDescent="0.25">
      <c r="B334" s="217" t="s">
        <v>535</v>
      </c>
      <c r="C334" s="398"/>
      <c r="D334" s="389">
        <v>10.45</v>
      </c>
      <c r="E334" s="389"/>
      <c r="F334" s="389">
        <v>3.89</v>
      </c>
      <c r="G334" s="390">
        <v>2</v>
      </c>
      <c r="H334" s="389">
        <f t="shared" si="31"/>
        <v>81.301000000000002</v>
      </c>
      <c r="I334" s="483"/>
      <c r="J334" s="399"/>
      <c r="K334" s="399" t="s">
        <v>3</v>
      </c>
      <c r="L334" s="389">
        <f t="shared" si="32"/>
        <v>81.301000000000002</v>
      </c>
    </row>
    <row r="335" spans="2:12" ht="14.4" x14ac:dyDescent="0.25">
      <c r="B335" s="217" t="s">
        <v>536</v>
      </c>
      <c r="C335" s="398"/>
      <c r="D335" s="389">
        <v>1.67</v>
      </c>
      <c r="E335" s="389"/>
      <c r="F335" s="389">
        <v>3.89</v>
      </c>
      <c r="G335" s="390">
        <v>1</v>
      </c>
      <c r="H335" s="389">
        <f t="shared" si="31"/>
        <v>6.4962999999999997</v>
      </c>
      <c r="I335" s="483"/>
      <c r="J335" s="399"/>
      <c r="K335" s="399" t="s">
        <v>3</v>
      </c>
      <c r="L335" s="389">
        <f t="shared" si="32"/>
        <v>6.4962999999999997</v>
      </c>
    </row>
    <row r="336" spans="2:12" ht="14.4" x14ac:dyDescent="0.25">
      <c r="B336" s="217" t="s">
        <v>537</v>
      </c>
      <c r="C336" s="398"/>
      <c r="D336" s="389">
        <v>6.02</v>
      </c>
      <c r="E336" s="389"/>
      <c r="F336" s="389">
        <v>3.89</v>
      </c>
      <c r="G336" s="390">
        <v>1</v>
      </c>
      <c r="H336" s="389">
        <f t="shared" si="31"/>
        <v>23.4178</v>
      </c>
      <c r="I336" s="483"/>
      <c r="J336" s="399"/>
      <c r="K336" s="399" t="s">
        <v>3</v>
      </c>
      <c r="L336" s="389">
        <f t="shared" si="32"/>
        <v>23.4178</v>
      </c>
    </row>
    <row r="337" spans="2:13" ht="14.4" x14ac:dyDescent="0.25">
      <c r="B337" s="217" t="s">
        <v>538</v>
      </c>
      <c r="C337" s="398"/>
      <c r="D337" s="389">
        <v>2.78</v>
      </c>
      <c r="E337" s="389"/>
      <c r="F337" s="389">
        <v>3.89</v>
      </c>
      <c r="G337" s="390">
        <v>4</v>
      </c>
      <c r="H337" s="389">
        <f t="shared" si="31"/>
        <v>43.256799999999998</v>
      </c>
      <c r="I337" s="483"/>
      <c r="J337" s="399"/>
      <c r="K337" s="399" t="s">
        <v>3</v>
      </c>
      <c r="L337" s="389">
        <f t="shared" si="32"/>
        <v>43.256799999999998</v>
      </c>
    </row>
    <row r="338" spans="2:13" ht="14.4" x14ac:dyDescent="0.25">
      <c r="B338" s="217" t="s">
        <v>539</v>
      </c>
      <c r="C338" s="398"/>
      <c r="D338" s="389">
        <v>7.8</v>
      </c>
      <c r="E338" s="389"/>
      <c r="F338" s="389">
        <v>3.89</v>
      </c>
      <c r="G338" s="390">
        <v>3</v>
      </c>
      <c r="H338" s="389">
        <f t="shared" si="31"/>
        <v>91.025999999999996</v>
      </c>
      <c r="I338" s="483"/>
      <c r="J338" s="399"/>
      <c r="K338" s="399" t="s">
        <v>3</v>
      </c>
      <c r="L338" s="389">
        <f t="shared" si="32"/>
        <v>91.025999999999996</v>
      </c>
    </row>
    <row r="339" spans="2:13" ht="14.4" x14ac:dyDescent="0.25">
      <c r="B339" s="527" t="s">
        <v>540</v>
      </c>
      <c r="C339" s="398"/>
      <c r="D339" s="389">
        <v>2.27</v>
      </c>
      <c r="E339" s="389"/>
      <c r="F339" s="389">
        <v>3.89</v>
      </c>
      <c r="G339" s="390">
        <v>2</v>
      </c>
      <c r="H339" s="389">
        <f t="shared" si="31"/>
        <v>10.520600000000002</v>
      </c>
      <c r="I339" s="483">
        <v>7.14</v>
      </c>
      <c r="J339" s="399"/>
      <c r="K339" s="399" t="s">
        <v>3</v>
      </c>
      <c r="L339" s="389">
        <f t="shared" si="32"/>
        <v>10.520600000000002</v>
      </c>
    </row>
    <row r="340" spans="2:13" ht="14.4" x14ac:dyDescent="0.25">
      <c r="B340" s="391" t="s">
        <v>563</v>
      </c>
      <c r="C340" s="205"/>
      <c r="D340" s="392">
        <f>SUM(D301:D339)</f>
        <v>166.64000000000004</v>
      </c>
      <c r="E340" s="392"/>
      <c r="F340" s="392"/>
      <c r="G340" s="392"/>
      <c r="H340" s="392"/>
      <c r="I340" s="392"/>
      <c r="J340" s="392"/>
      <c r="K340" s="536" t="s">
        <v>3</v>
      </c>
      <c r="L340" s="392">
        <f>SUM(L301:L339)</f>
        <v>867.0291000000002</v>
      </c>
      <c r="M340" s="1"/>
    </row>
    <row r="341" spans="2:13" ht="14.4" customHeight="1" x14ac:dyDescent="0.25">
      <c r="B341" s="822" t="s">
        <v>1</v>
      </c>
      <c r="C341" s="55" t="s">
        <v>0</v>
      </c>
      <c r="D341" s="52" t="s">
        <v>12</v>
      </c>
      <c r="E341" s="52" t="s">
        <v>4</v>
      </c>
      <c r="F341" s="52" t="s">
        <v>2</v>
      </c>
      <c r="G341" s="52" t="s">
        <v>6</v>
      </c>
      <c r="H341" s="148" t="s">
        <v>5</v>
      </c>
      <c r="I341" s="56" t="s">
        <v>13</v>
      </c>
      <c r="J341" s="148" t="s">
        <v>14</v>
      </c>
      <c r="K341" s="822" t="s">
        <v>7</v>
      </c>
      <c r="L341" s="824" t="s">
        <v>8</v>
      </c>
    </row>
    <row r="342" spans="2:13" ht="14.4" x14ac:dyDescent="0.3">
      <c r="B342" s="823"/>
      <c r="C342" s="80" t="s">
        <v>9</v>
      </c>
      <c r="D342" s="81" t="s">
        <v>10</v>
      </c>
      <c r="E342" s="81" t="s">
        <v>10</v>
      </c>
      <c r="F342" s="81" t="s">
        <v>10</v>
      </c>
      <c r="G342" s="80" t="s">
        <v>9</v>
      </c>
      <c r="H342" s="82" t="s">
        <v>11</v>
      </c>
      <c r="I342" s="113" t="s">
        <v>11</v>
      </c>
      <c r="J342" s="82" t="s">
        <v>15</v>
      </c>
      <c r="K342" s="823"/>
      <c r="L342" s="825"/>
    </row>
    <row r="343" spans="2:13" ht="14.4" x14ac:dyDescent="0.3">
      <c r="B343" s="20" t="s">
        <v>701</v>
      </c>
      <c r="C343" s="381"/>
      <c r="D343" s="382"/>
      <c r="E343" s="382"/>
      <c r="F343" s="382"/>
      <c r="G343" s="381"/>
      <c r="H343" s="383"/>
      <c r="I343" s="384"/>
      <c r="J343" s="383"/>
      <c r="K343" s="383"/>
      <c r="L343" s="7"/>
    </row>
    <row r="344" spans="2:13" ht="14.4" x14ac:dyDescent="0.25">
      <c r="B344" s="15" t="s">
        <v>53</v>
      </c>
      <c r="C344" s="11"/>
      <c r="D344" s="16">
        <v>5.09</v>
      </c>
      <c r="E344" s="479"/>
      <c r="F344" s="16">
        <v>3.89</v>
      </c>
      <c r="G344" s="478">
        <v>1</v>
      </c>
      <c r="H344" s="389">
        <f t="shared" ref="H344:H364" si="33">D344*F344*G344-I344</f>
        <v>19.8001</v>
      </c>
      <c r="I344" s="50"/>
      <c r="J344" s="17"/>
      <c r="K344" s="50" t="s">
        <v>3</v>
      </c>
      <c r="L344" s="389">
        <f t="shared" ref="L344:L364" si="34">H344</f>
        <v>19.8001</v>
      </c>
    </row>
    <row r="345" spans="2:13" ht="14.4" x14ac:dyDescent="0.25">
      <c r="B345" s="15" t="s">
        <v>477</v>
      </c>
      <c r="C345" s="11"/>
      <c r="D345" s="16">
        <v>1.48</v>
      </c>
      <c r="E345" s="479"/>
      <c r="F345" s="16">
        <v>3.89</v>
      </c>
      <c r="G345" s="478">
        <v>1</v>
      </c>
      <c r="H345" s="389">
        <f t="shared" si="33"/>
        <v>5.7572000000000001</v>
      </c>
      <c r="I345" s="17"/>
      <c r="J345" s="17"/>
      <c r="K345" s="50" t="s">
        <v>3</v>
      </c>
      <c r="L345" s="389">
        <f t="shared" si="34"/>
        <v>5.7572000000000001</v>
      </c>
    </row>
    <row r="346" spans="2:13" ht="14.4" x14ac:dyDescent="0.25">
      <c r="B346" s="15" t="s">
        <v>478</v>
      </c>
      <c r="C346" s="11"/>
      <c r="D346" s="16">
        <v>1.1000000000000001</v>
      </c>
      <c r="E346" s="479"/>
      <c r="F346" s="16">
        <v>3.89</v>
      </c>
      <c r="G346" s="478">
        <v>1</v>
      </c>
      <c r="H346" s="389">
        <f t="shared" si="33"/>
        <v>4.2790000000000008</v>
      </c>
      <c r="I346" s="17"/>
      <c r="J346" s="17"/>
      <c r="K346" s="50" t="s">
        <v>3</v>
      </c>
      <c r="L346" s="389">
        <f t="shared" si="34"/>
        <v>4.2790000000000008</v>
      </c>
    </row>
    <row r="347" spans="2:13" ht="14.4" x14ac:dyDescent="0.25">
      <c r="B347" s="15" t="s">
        <v>489</v>
      </c>
      <c r="C347" s="11"/>
      <c r="D347" s="16">
        <v>2.15</v>
      </c>
      <c r="E347" s="479"/>
      <c r="F347" s="16">
        <v>3.89</v>
      </c>
      <c r="G347" s="478">
        <v>2</v>
      </c>
      <c r="H347" s="389">
        <f t="shared" si="33"/>
        <v>16.727</v>
      </c>
      <c r="I347" s="17"/>
      <c r="J347" s="17"/>
      <c r="K347" s="50" t="s">
        <v>3</v>
      </c>
      <c r="L347" s="389">
        <f t="shared" si="34"/>
        <v>16.727</v>
      </c>
    </row>
    <row r="348" spans="2:13" ht="14.4" x14ac:dyDescent="0.25">
      <c r="B348" s="15" t="s">
        <v>490</v>
      </c>
      <c r="C348" s="11"/>
      <c r="D348" s="16">
        <v>1.58</v>
      </c>
      <c r="E348" s="479"/>
      <c r="F348" s="16">
        <v>3.89</v>
      </c>
      <c r="G348" s="478">
        <v>1</v>
      </c>
      <c r="H348" s="389">
        <f t="shared" si="33"/>
        <v>6.1462000000000003</v>
      </c>
      <c r="I348" s="17"/>
      <c r="J348" s="17"/>
      <c r="K348" s="50" t="s">
        <v>3</v>
      </c>
      <c r="L348" s="389">
        <f t="shared" si="34"/>
        <v>6.1462000000000003</v>
      </c>
    </row>
    <row r="349" spans="2:13" ht="14.4" x14ac:dyDescent="0.25">
      <c r="B349" s="15" t="s">
        <v>496</v>
      </c>
      <c r="C349" s="11"/>
      <c r="D349" s="16">
        <v>1.5</v>
      </c>
      <c r="E349" s="479"/>
      <c r="F349" s="16">
        <v>3.89</v>
      </c>
      <c r="G349" s="478">
        <v>1</v>
      </c>
      <c r="H349" s="389">
        <f t="shared" si="33"/>
        <v>5.835</v>
      </c>
      <c r="I349" s="17"/>
      <c r="J349" s="17"/>
      <c r="K349" s="50" t="s">
        <v>3</v>
      </c>
      <c r="L349" s="389">
        <f t="shared" si="34"/>
        <v>5.835</v>
      </c>
    </row>
    <row r="350" spans="2:13" ht="14.4" x14ac:dyDescent="0.25">
      <c r="B350" s="15" t="s">
        <v>503</v>
      </c>
      <c r="C350" s="11"/>
      <c r="D350" s="16">
        <v>4.21</v>
      </c>
      <c r="E350" s="479"/>
      <c r="F350" s="16">
        <v>3.89</v>
      </c>
      <c r="G350" s="478">
        <v>1</v>
      </c>
      <c r="H350" s="389">
        <f t="shared" si="33"/>
        <v>16.376899999999999</v>
      </c>
      <c r="I350" s="17"/>
      <c r="J350" s="17"/>
      <c r="K350" s="50" t="s">
        <v>3</v>
      </c>
      <c r="L350" s="389">
        <f t="shared" si="34"/>
        <v>16.376899999999999</v>
      </c>
    </row>
    <row r="351" spans="2:13" ht="14.4" x14ac:dyDescent="0.25">
      <c r="B351" s="15" t="s">
        <v>504</v>
      </c>
      <c r="C351" s="11"/>
      <c r="D351" s="16">
        <v>2.2000000000000002</v>
      </c>
      <c r="E351" s="479"/>
      <c r="F351" s="16">
        <v>3.89</v>
      </c>
      <c r="G351" s="478">
        <v>1</v>
      </c>
      <c r="H351" s="389">
        <f t="shared" si="33"/>
        <v>8.5580000000000016</v>
      </c>
      <c r="I351" s="17"/>
      <c r="J351" s="17"/>
      <c r="K351" s="50" t="s">
        <v>3</v>
      </c>
      <c r="L351" s="389">
        <f t="shared" si="34"/>
        <v>8.5580000000000016</v>
      </c>
    </row>
    <row r="352" spans="2:13" ht="14.4" x14ac:dyDescent="0.25">
      <c r="B352" s="15" t="s">
        <v>506</v>
      </c>
      <c r="C352" s="11"/>
      <c r="D352" s="16">
        <v>2.0499999999999998</v>
      </c>
      <c r="E352" s="479"/>
      <c r="F352" s="16">
        <v>3.89</v>
      </c>
      <c r="G352" s="478">
        <v>1</v>
      </c>
      <c r="H352" s="389">
        <f t="shared" si="33"/>
        <v>7.9744999999999999</v>
      </c>
      <c r="I352" s="17"/>
      <c r="J352" s="17"/>
      <c r="K352" s="50" t="s">
        <v>3</v>
      </c>
      <c r="L352" s="389">
        <f t="shared" si="34"/>
        <v>7.9744999999999999</v>
      </c>
    </row>
    <row r="353" spans="2:12" ht="14.4" x14ac:dyDescent="0.25">
      <c r="B353" s="15" t="s">
        <v>507</v>
      </c>
      <c r="C353" s="11"/>
      <c r="D353" s="16">
        <v>4.05</v>
      </c>
      <c r="E353" s="479"/>
      <c r="F353" s="16">
        <v>3.89</v>
      </c>
      <c r="G353" s="478">
        <v>1</v>
      </c>
      <c r="H353" s="389">
        <f t="shared" si="33"/>
        <v>15.7545</v>
      </c>
      <c r="I353" s="17"/>
      <c r="J353" s="17"/>
      <c r="K353" s="50" t="s">
        <v>3</v>
      </c>
      <c r="L353" s="389">
        <f t="shared" si="34"/>
        <v>15.7545</v>
      </c>
    </row>
    <row r="354" spans="2:12" ht="14.4" x14ac:dyDescent="0.25">
      <c r="B354" s="15" t="s">
        <v>510</v>
      </c>
      <c r="C354" s="11"/>
      <c r="D354" s="16">
        <v>0.85</v>
      </c>
      <c r="E354" s="479"/>
      <c r="F354" s="16">
        <v>3.89</v>
      </c>
      <c r="G354" s="478">
        <v>1</v>
      </c>
      <c r="H354" s="389">
        <f t="shared" si="33"/>
        <v>3.3065000000000002</v>
      </c>
      <c r="I354" s="17"/>
      <c r="J354" s="17"/>
      <c r="K354" s="50" t="s">
        <v>3</v>
      </c>
      <c r="L354" s="389">
        <f t="shared" si="34"/>
        <v>3.3065000000000002</v>
      </c>
    </row>
    <row r="355" spans="2:12" ht="14.4" x14ac:dyDescent="0.25">
      <c r="B355" s="15" t="s">
        <v>511</v>
      </c>
      <c r="C355" s="11"/>
      <c r="D355" s="16">
        <v>8.35</v>
      </c>
      <c r="E355" s="479"/>
      <c r="F355" s="16">
        <v>3.89</v>
      </c>
      <c r="G355" s="478">
        <v>1</v>
      </c>
      <c r="H355" s="389">
        <f t="shared" si="33"/>
        <v>32.481499999999997</v>
      </c>
      <c r="I355" s="17"/>
      <c r="J355" s="17"/>
      <c r="K355" s="50" t="s">
        <v>3</v>
      </c>
      <c r="L355" s="389">
        <f t="shared" si="34"/>
        <v>32.481499999999997</v>
      </c>
    </row>
    <row r="356" spans="2:12" ht="14.4" x14ac:dyDescent="0.25">
      <c r="B356" s="15" t="s">
        <v>512</v>
      </c>
      <c r="C356" s="11"/>
      <c r="D356" s="16">
        <v>3.91</v>
      </c>
      <c r="E356" s="479"/>
      <c r="F356" s="16">
        <v>3.89</v>
      </c>
      <c r="G356" s="478">
        <v>1</v>
      </c>
      <c r="H356" s="389">
        <f t="shared" si="33"/>
        <v>15.209900000000001</v>
      </c>
      <c r="I356" s="17"/>
      <c r="J356" s="17"/>
      <c r="K356" s="50" t="s">
        <v>3</v>
      </c>
      <c r="L356" s="389">
        <f t="shared" si="34"/>
        <v>15.209900000000001</v>
      </c>
    </row>
    <row r="357" spans="2:12" ht="14.4" x14ac:dyDescent="0.25">
      <c r="B357" s="15" t="s">
        <v>513</v>
      </c>
      <c r="C357" s="11"/>
      <c r="D357" s="16">
        <v>1.2</v>
      </c>
      <c r="E357" s="479"/>
      <c r="F357" s="16">
        <v>3.89</v>
      </c>
      <c r="G357" s="478">
        <v>2</v>
      </c>
      <c r="H357" s="389">
        <f t="shared" si="33"/>
        <v>9.3360000000000003</v>
      </c>
      <c r="I357" s="17"/>
      <c r="J357" s="17"/>
      <c r="K357" s="50" t="s">
        <v>3</v>
      </c>
      <c r="L357" s="389">
        <f t="shared" si="34"/>
        <v>9.3360000000000003</v>
      </c>
    </row>
    <row r="358" spans="2:12" ht="14.4" x14ac:dyDescent="0.25">
      <c r="B358" s="15" t="s">
        <v>524</v>
      </c>
      <c r="C358" s="11"/>
      <c r="D358" s="16">
        <v>1.25</v>
      </c>
      <c r="E358" s="479"/>
      <c r="F358" s="16">
        <v>3.89</v>
      </c>
      <c r="G358" s="478">
        <v>1</v>
      </c>
      <c r="H358" s="389">
        <f t="shared" si="33"/>
        <v>4.8624999999999998</v>
      </c>
      <c r="I358" s="17"/>
      <c r="J358" s="17"/>
      <c r="K358" s="50" t="s">
        <v>3</v>
      </c>
      <c r="L358" s="389">
        <f t="shared" si="34"/>
        <v>4.8624999999999998</v>
      </c>
    </row>
    <row r="359" spans="2:12" ht="14.4" x14ac:dyDescent="0.25">
      <c r="B359" s="15" t="s">
        <v>525</v>
      </c>
      <c r="C359" s="11"/>
      <c r="D359" s="16">
        <v>3</v>
      </c>
      <c r="E359" s="479"/>
      <c r="F359" s="16">
        <v>3.89</v>
      </c>
      <c r="G359" s="478">
        <v>1</v>
      </c>
      <c r="H359" s="389">
        <f t="shared" si="33"/>
        <v>11.67</v>
      </c>
      <c r="I359" s="17"/>
      <c r="J359" s="17"/>
      <c r="K359" s="50" t="s">
        <v>3</v>
      </c>
      <c r="L359" s="389">
        <f t="shared" si="34"/>
        <v>11.67</v>
      </c>
    </row>
    <row r="360" spans="2:12" ht="14.4" x14ac:dyDescent="0.25">
      <c r="B360" s="15" t="s">
        <v>526</v>
      </c>
      <c r="C360" s="11"/>
      <c r="D360" s="16">
        <v>8.94</v>
      </c>
      <c r="E360" s="479"/>
      <c r="F360" s="16">
        <v>3.89</v>
      </c>
      <c r="G360" s="478">
        <v>1</v>
      </c>
      <c r="H360" s="389">
        <f t="shared" si="33"/>
        <v>34.776600000000002</v>
      </c>
      <c r="I360" s="17"/>
      <c r="J360" s="17"/>
      <c r="K360" s="50" t="s">
        <v>3</v>
      </c>
      <c r="L360" s="389">
        <f t="shared" si="34"/>
        <v>34.776600000000002</v>
      </c>
    </row>
    <row r="361" spans="2:12" ht="14.4" x14ac:dyDescent="0.25">
      <c r="B361" s="15" t="s">
        <v>527</v>
      </c>
      <c r="C361" s="11"/>
      <c r="D361" s="16">
        <v>3.65</v>
      </c>
      <c r="E361" s="479"/>
      <c r="F361" s="16">
        <v>3.89</v>
      </c>
      <c r="G361" s="478">
        <v>1</v>
      </c>
      <c r="H361" s="389">
        <f t="shared" si="33"/>
        <v>14.198499999999999</v>
      </c>
      <c r="I361" s="17"/>
      <c r="J361" s="17"/>
      <c r="K361" s="50" t="s">
        <v>3</v>
      </c>
      <c r="L361" s="389">
        <f t="shared" si="34"/>
        <v>14.198499999999999</v>
      </c>
    </row>
    <row r="362" spans="2:12" ht="14.4" x14ac:dyDescent="0.25">
      <c r="B362" s="15" t="s">
        <v>529</v>
      </c>
      <c r="C362" s="11"/>
      <c r="D362" s="16">
        <v>2.2999999999999998</v>
      </c>
      <c r="E362" s="479"/>
      <c r="F362" s="16">
        <v>1.8</v>
      </c>
      <c r="G362" s="478">
        <v>2</v>
      </c>
      <c r="H362" s="389">
        <f t="shared" si="33"/>
        <v>8.2799999999999994</v>
      </c>
      <c r="I362" s="17"/>
      <c r="J362" s="17"/>
      <c r="K362" s="50" t="s">
        <v>3</v>
      </c>
      <c r="L362" s="389">
        <f t="shared" si="34"/>
        <v>8.2799999999999994</v>
      </c>
    </row>
    <row r="363" spans="2:12" ht="14.4" x14ac:dyDescent="0.25">
      <c r="B363" s="15" t="s">
        <v>530</v>
      </c>
      <c r="C363" s="11"/>
      <c r="D363" s="16">
        <v>3.46</v>
      </c>
      <c r="E363" s="479"/>
      <c r="F363" s="16">
        <v>3.89</v>
      </c>
      <c r="G363" s="478">
        <v>1</v>
      </c>
      <c r="H363" s="389">
        <f t="shared" si="33"/>
        <v>13.4594</v>
      </c>
      <c r="I363" s="17"/>
      <c r="J363" s="17"/>
      <c r="K363" s="50" t="s">
        <v>3</v>
      </c>
      <c r="L363" s="389">
        <f t="shared" si="34"/>
        <v>13.4594</v>
      </c>
    </row>
    <row r="364" spans="2:12" ht="14.4" x14ac:dyDescent="0.25">
      <c r="B364" s="15" t="s">
        <v>531</v>
      </c>
      <c r="C364" s="11"/>
      <c r="D364" s="16">
        <v>14.88</v>
      </c>
      <c r="E364" s="479"/>
      <c r="F364" s="16">
        <v>3.89</v>
      </c>
      <c r="G364" s="478">
        <v>1</v>
      </c>
      <c r="H364" s="389">
        <f t="shared" si="33"/>
        <v>57.883200000000002</v>
      </c>
      <c r="I364" s="50"/>
      <c r="J364" s="17"/>
      <c r="K364" s="50" t="s">
        <v>3</v>
      </c>
      <c r="L364" s="389">
        <f t="shared" si="34"/>
        <v>57.883200000000002</v>
      </c>
    </row>
    <row r="365" spans="2:12" ht="14.4" x14ac:dyDescent="0.25">
      <c r="B365" s="21" t="s">
        <v>563</v>
      </c>
      <c r="C365" s="12"/>
      <c r="D365" s="35">
        <f>SUM(D344:D364)</f>
        <v>77.199999999999989</v>
      </c>
      <c r="E365" s="18"/>
      <c r="F365" s="10"/>
      <c r="G365" s="22"/>
      <c r="H365" s="19"/>
      <c r="I365" s="19"/>
      <c r="J365" s="19"/>
      <c r="K365" s="23" t="s">
        <v>3</v>
      </c>
      <c r="L365" s="13">
        <f>SUM(L344:L364)</f>
        <v>312.67250000000001</v>
      </c>
    </row>
    <row r="366" spans="2:12" ht="14.4" x14ac:dyDescent="0.25">
      <c r="B366" s="822" t="s">
        <v>1</v>
      </c>
      <c r="C366" s="55" t="s">
        <v>0</v>
      </c>
      <c r="D366" s="52" t="s">
        <v>12</v>
      </c>
      <c r="E366" s="52" t="s">
        <v>4</v>
      </c>
      <c r="F366" s="52" t="s">
        <v>2</v>
      </c>
      <c r="G366" s="52" t="s">
        <v>6</v>
      </c>
      <c r="H366" s="148" t="s">
        <v>5</v>
      </c>
      <c r="I366" s="56" t="s">
        <v>13</v>
      </c>
      <c r="J366" s="148" t="s">
        <v>14</v>
      </c>
      <c r="K366" s="822" t="s">
        <v>7</v>
      </c>
      <c r="L366" s="824" t="s">
        <v>8</v>
      </c>
    </row>
    <row r="367" spans="2:12" ht="14.4" x14ac:dyDescent="0.3">
      <c r="B367" s="823"/>
      <c r="C367" s="80" t="s">
        <v>9</v>
      </c>
      <c r="D367" s="81" t="s">
        <v>10</v>
      </c>
      <c r="E367" s="81" t="s">
        <v>10</v>
      </c>
      <c r="F367" s="81" t="s">
        <v>10</v>
      </c>
      <c r="G367" s="80" t="s">
        <v>9</v>
      </c>
      <c r="H367" s="82" t="s">
        <v>11</v>
      </c>
      <c r="I367" s="113" t="s">
        <v>11</v>
      </c>
      <c r="J367" s="82" t="s">
        <v>15</v>
      </c>
      <c r="K367" s="823"/>
      <c r="L367" s="825"/>
    </row>
    <row r="368" spans="2:12" ht="14.4" x14ac:dyDescent="0.3">
      <c r="B368" s="20" t="s">
        <v>698</v>
      </c>
      <c r="C368" s="381"/>
      <c r="D368" s="382"/>
      <c r="E368" s="382"/>
      <c r="F368" s="382"/>
      <c r="G368" s="381"/>
      <c r="H368" s="383"/>
      <c r="I368" s="384"/>
      <c r="J368" s="383"/>
      <c r="K368" s="383"/>
      <c r="L368" s="7"/>
    </row>
    <row r="369" spans="2:12" ht="14.4" x14ac:dyDescent="0.25">
      <c r="B369" s="217" t="s">
        <v>484</v>
      </c>
      <c r="C369" s="398"/>
      <c r="D369" s="389">
        <v>3.15</v>
      </c>
      <c r="E369" s="389"/>
      <c r="F369" s="389">
        <v>3.89</v>
      </c>
      <c r="G369" s="390">
        <v>1</v>
      </c>
      <c r="H369" s="389">
        <f t="shared" ref="H369:H372" si="35">D369*F369*G369-I369</f>
        <v>12.253500000000001</v>
      </c>
      <c r="I369" s="481"/>
      <c r="J369" s="399"/>
      <c r="K369" s="399" t="s">
        <v>3</v>
      </c>
      <c r="L369" s="483">
        <f t="shared" ref="L369:L371" si="36">H369</f>
        <v>12.253500000000001</v>
      </c>
    </row>
    <row r="370" spans="2:12" ht="14.4" x14ac:dyDescent="0.25">
      <c r="B370" s="217" t="s">
        <v>487</v>
      </c>
      <c r="C370" s="398"/>
      <c r="D370" s="389">
        <v>5.21</v>
      </c>
      <c r="E370" s="389"/>
      <c r="F370" s="389">
        <v>3.89</v>
      </c>
      <c r="G370" s="390">
        <v>1</v>
      </c>
      <c r="H370" s="389">
        <f t="shared" si="35"/>
        <v>20.2669</v>
      </c>
      <c r="I370" s="481"/>
      <c r="J370" s="399"/>
      <c r="K370" s="399" t="s">
        <v>3</v>
      </c>
      <c r="L370" s="483">
        <f t="shared" si="36"/>
        <v>20.2669</v>
      </c>
    </row>
    <row r="371" spans="2:12" ht="14.4" x14ac:dyDescent="0.25">
      <c r="B371" s="217" t="s">
        <v>518</v>
      </c>
      <c r="C371" s="398"/>
      <c r="D371" s="389">
        <v>2.02</v>
      </c>
      <c r="E371" s="389"/>
      <c r="F371" s="389">
        <v>3.89</v>
      </c>
      <c r="G371" s="390">
        <v>2</v>
      </c>
      <c r="H371" s="389">
        <f t="shared" si="35"/>
        <v>15.7156</v>
      </c>
      <c r="I371" s="481"/>
      <c r="J371" s="399"/>
      <c r="K371" s="399" t="s">
        <v>3</v>
      </c>
      <c r="L371" s="483">
        <f t="shared" si="36"/>
        <v>15.7156</v>
      </c>
    </row>
    <row r="372" spans="2:12" ht="14.4" x14ac:dyDescent="0.25">
      <c r="B372" s="217" t="s">
        <v>519</v>
      </c>
      <c r="C372" s="398"/>
      <c r="D372" s="389">
        <v>3.71</v>
      </c>
      <c r="E372" s="389"/>
      <c r="F372" s="389">
        <v>3.89</v>
      </c>
      <c r="G372" s="390">
        <v>2</v>
      </c>
      <c r="H372" s="389">
        <f t="shared" si="35"/>
        <v>28.863800000000001</v>
      </c>
      <c r="I372" s="481"/>
      <c r="J372" s="399"/>
      <c r="K372" s="399" t="s">
        <v>3</v>
      </c>
      <c r="L372" s="483">
        <f>H372</f>
        <v>28.863800000000001</v>
      </c>
    </row>
    <row r="373" spans="2:12" ht="14.4" x14ac:dyDescent="0.25">
      <c r="B373" s="21" t="s">
        <v>563</v>
      </c>
      <c r="C373" s="12"/>
      <c r="D373" s="35">
        <f>SUM(D369:D372)</f>
        <v>14.09</v>
      </c>
      <c r="E373" s="459"/>
      <c r="F373" s="10"/>
      <c r="G373" s="22"/>
      <c r="H373" s="19"/>
      <c r="I373" s="19"/>
      <c r="J373" s="19"/>
      <c r="K373" s="23" t="s">
        <v>3</v>
      </c>
      <c r="L373" s="13">
        <f>SUM(L369:L372)</f>
        <v>77.099800000000002</v>
      </c>
    </row>
    <row r="374" spans="2:12" ht="14.4" x14ac:dyDescent="0.3">
      <c r="B374" s="24" t="s">
        <v>702</v>
      </c>
      <c r="C374" s="114"/>
      <c r="D374" s="115"/>
      <c r="E374" s="115"/>
      <c r="F374" s="115"/>
      <c r="G374" s="114"/>
      <c r="H374" s="116"/>
      <c r="I374" s="117"/>
      <c r="J374" s="116"/>
      <c r="K374" s="116"/>
      <c r="L374" s="118"/>
    </row>
    <row r="375" spans="2:12" ht="14.4" x14ac:dyDescent="0.25">
      <c r="B375" s="217" t="s">
        <v>486</v>
      </c>
      <c r="C375" s="398"/>
      <c r="D375" s="389">
        <v>3</v>
      </c>
      <c r="E375" s="389"/>
      <c r="F375" s="389">
        <v>3.89</v>
      </c>
      <c r="G375" s="390">
        <v>2</v>
      </c>
      <c r="H375" s="389">
        <f t="shared" ref="H375:H380" si="37">D375*F375*G375-I375</f>
        <v>23.34</v>
      </c>
      <c r="I375" s="481"/>
      <c r="J375" s="399"/>
      <c r="K375" s="399" t="s">
        <v>3</v>
      </c>
      <c r="L375" s="483">
        <f t="shared" ref="L375:L380" si="38">H375</f>
        <v>23.34</v>
      </c>
    </row>
    <row r="376" spans="2:12" ht="14.4" x14ac:dyDescent="0.25">
      <c r="B376" s="217" t="s">
        <v>541</v>
      </c>
      <c r="C376" s="398"/>
      <c r="D376" s="389">
        <v>3.79</v>
      </c>
      <c r="E376" s="389"/>
      <c r="F376" s="389">
        <v>3.4</v>
      </c>
      <c r="G376" s="390">
        <v>2</v>
      </c>
      <c r="H376" s="389">
        <f t="shared" si="37"/>
        <v>25.771999999999998</v>
      </c>
      <c r="I376" s="481"/>
      <c r="J376" s="399"/>
      <c r="K376" s="399" t="s">
        <v>3</v>
      </c>
      <c r="L376" s="483">
        <f t="shared" si="38"/>
        <v>25.771999999999998</v>
      </c>
    </row>
    <row r="377" spans="2:12" ht="14.4" x14ac:dyDescent="0.25">
      <c r="B377" s="217" t="s">
        <v>542</v>
      </c>
      <c r="C377" s="398"/>
      <c r="D377" s="389">
        <v>2.78</v>
      </c>
      <c r="E377" s="389"/>
      <c r="F377" s="389">
        <v>3.4</v>
      </c>
      <c r="G377" s="390">
        <v>2</v>
      </c>
      <c r="H377" s="389">
        <f t="shared" si="37"/>
        <v>18.904</v>
      </c>
      <c r="I377" s="481"/>
      <c r="J377" s="399"/>
      <c r="K377" s="399" t="s">
        <v>3</v>
      </c>
      <c r="L377" s="483">
        <f t="shared" si="38"/>
        <v>18.904</v>
      </c>
    </row>
    <row r="378" spans="2:12" ht="14.4" x14ac:dyDescent="0.25">
      <c r="B378" s="217" t="s">
        <v>546</v>
      </c>
      <c r="C378" s="398"/>
      <c r="D378" s="389">
        <v>2.2799999999999998</v>
      </c>
      <c r="E378" s="389"/>
      <c r="F378" s="389">
        <v>3.45</v>
      </c>
      <c r="G378" s="390">
        <v>1</v>
      </c>
      <c r="H378" s="389">
        <f t="shared" si="37"/>
        <v>7.8659999999999997</v>
      </c>
      <c r="I378" s="481"/>
      <c r="J378" s="399"/>
      <c r="K378" s="399" t="s">
        <v>3</v>
      </c>
      <c r="L378" s="483">
        <f t="shared" si="38"/>
        <v>7.8659999999999997</v>
      </c>
    </row>
    <row r="379" spans="2:12" ht="14.4" x14ac:dyDescent="0.25">
      <c r="B379" s="217" t="s">
        <v>547</v>
      </c>
      <c r="C379" s="398"/>
      <c r="D379" s="389">
        <v>2.89</v>
      </c>
      <c r="E379" s="389"/>
      <c r="F379" s="389">
        <v>3.45</v>
      </c>
      <c r="G379" s="390">
        <v>1</v>
      </c>
      <c r="H379" s="389">
        <f t="shared" si="37"/>
        <v>9.9705000000000013</v>
      </c>
      <c r="I379" s="481"/>
      <c r="J379" s="399"/>
      <c r="K379" s="399" t="s">
        <v>3</v>
      </c>
      <c r="L379" s="483">
        <f t="shared" si="38"/>
        <v>9.9705000000000013</v>
      </c>
    </row>
    <row r="380" spans="2:12" ht="14.4" x14ac:dyDescent="0.25">
      <c r="B380" s="217" t="s">
        <v>553</v>
      </c>
      <c r="C380" s="398"/>
      <c r="D380" s="389">
        <v>1.53</v>
      </c>
      <c r="E380" s="389"/>
      <c r="F380" s="389">
        <v>3.4</v>
      </c>
      <c r="G380" s="390">
        <v>2</v>
      </c>
      <c r="H380" s="389">
        <f t="shared" si="37"/>
        <v>10.404</v>
      </c>
      <c r="I380" s="481"/>
      <c r="J380" s="399"/>
      <c r="K380" s="399"/>
      <c r="L380" s="483">
        <f t="shared" si="38"/>
        <v>10.404</v>
      </c>
    </row>
    <row r="381" spans="2:12" ht="14.4" x14ac:dyDescent="0.25">
      <c r="B381" s="21" t="s">
        <v>684</v>
      </c>
      <c r="C381" s="12"/>
      <c r="D381" s="35">
        <f>SUM(D375:D380)</f>
        <v>16.27</v>
      </c>
      <c r="E381" s="459"/>
      <c r="F381" s="10"/>
      <c r="G381" s="22"/>
      <c r="H381" s="19"/>
      <c r="I381" s="19"/>
      <c r="J381" s="19"/>
      <c r="K381" s="23" t="s">
        <v>3</v>
      </c>
      <c r="L381" s="13">
        <f>SUM(L375:L380)</f>
        <v>96.256499999999988</v>
      </c>
    </row>
    <row r="382" spans="2:12" ht="14.4" x14ac:dyDescent="0.3">
      <c r="B382" s="24" t="s">
        <v>700</v>
      </c>
      <c r="C382" s="114"/>
      <c r="D382" s="115"/>
      <c r="E382" s="115"/>
      <c r="F382" s="115"/>
      <c r="G382" s="114"/>
      <c r="H382" s="116"/>
      <c r="I382" s="117"/>
      <c r="J382" s="116"/>
      <c r="K382" s="116"/>
      <c r="L382" s="118"/>
    </row>
    <row r="383" spans="2:12" ht="14.4" x14ac:dyDescent="0.25">
      <c r="B383" s="217" t="s">
        <v>476</v>
      </c>
      <c r="C383" s="398"/>
      <c r="D383" s="389">
        <v>1.48</v>
      </c>
      <c r="E383" s="389"/>
      <c r="F383" s="389">
        <v>3.89</v>
      </c>
      <c r="G383" s="390">
        <v>1</v>
      </c>
      <c r="H383" s="389">
        <f t="shared" ref="H383:H391" si="39">D383*F383*G383-I383</f>
        <v>5.7572000000000001</v>
      </c>
      <c r="I383" s="481"/>
      <c r="J383" s="399"/>
      <c r="K383" s="399" t="s">
        <v>3</v>
      </c>
      <c r="L383" s="483">
        <f t="shared" ref="L383:L391" si="40">H383</f>
        <v>5.7572000000000001</v>
      </c>
    </row>
    <row r="384" spans="2:12" ht="14.4" x14ac:dyDescent="0.25">
      <c r="B384" s="217" t="s">
        <v>543</v>
      </c>
      <c r="C384" s="398"/>
      <c r="D384" s="389">
        <v>2.5299999999999998</v>
      </c>
      <c r="E384" s="389"/>
      <c r="F384" s="389">
        <v>3.45</v>
      </c>
      <c r="G384" s="390">
        <v>1</v>
      </c>
      <c r="H384" s="389">
        <f t="shared" si="39"/>
        <v>8.7285000000000004</v>
      </c>
      <c r="I384" s="481"/>
      <c r="J384" s="399"/>
      <c r="K384" s="399" t="s">
        <v>3</v>
      </c>
      <c r="L384" s="483">
        <f t="shared" si="40"/>
        <v>8.7285000000000004</v>
      </c>
    </row>
    <row r="385" spans="2:12" ht="14.4" x14ac:dyDescent="0.25">
      <c r="B385" s="217" t="s">
        <v>544</v>
      </c>
      <c r="C385" s="398"/>
      <c r="D385" s="389">
        <v>2.96</v>
      </c>
      <c r="E385" s="389"/>
      <c r="F385" s="389">
        <v>3.45</v>
      </c>
      <c r="G385" s="390">
        <v>1</v>
      </c>
      <c r="H385" s="389">
        <f t="shared" si="39"/>
        <v>10.212</v>
      </c>
      <c r="I385" s="481"/>
      <c r="J385" s="399"/>
      <c r="K385" s="399" t="s">
        <v>3</v>
      </c>
      <c r="L385" s="483">
        <f t="shared" si="40"/>
        <v>10.212</v>
      </c>
    </row>
    <row r="386" spans="2:12" ht="14.4" x14ac:dyDescent="0.25">
      <c r="B386" s="217" t="s">
        <v>545</v>
      </c>
      <c r="C386" s="398"/>
      <c r="D386" s="389">
        <v>1.89</v>
      </c>
      <c r="E386" s="389"/>
      <c r="F386" s="389">
        <v>3.45</v>
      </c>
      <c r="G386" s="390">
        <v>1</v>
      </c>
      <c r="H386" s="389">
        <f t="shared" si="39"/>
        <v>6.5205000000000002</v>
      </c>
      <c r="I386" s="481"/>
      <c r="J386" s="399"/>
      <c r="K386" s="399" t="s">
        <v>3</v>
      </c>
      <c r="L386" s="483">
        <f t="shared" si="40"/>
        <v>6.5205000000000002</v>
      </c>
    </row>
    <row r="387" spans="2:12" ht="14.4" x14ac:dyDescent="0.25">
      <c r="B387" s="217" t="s">
        <v>548</v>
      </c>
      <c r="C387" s="398"/>
      <c r="D387" s="389">
        <v>8.1300000000000008</v>
      </c>
      <c r="E387" s="389"/>
      <c r="F387" s="389">
        <v>3.4</v>
      </c>
      <c r="G387" s="390">
        <v>1</v>
      </c>
      <c r="H387" s="389">
        <f t="shared" si="39"/>
        <v>27.642000000000003</v>
      </c>
      <c r="I387" s="481"/>
      <c r="J387" s="399"/>
      <c r="K387" s="399" t="s">
        <v>3</v>
      </c>
      <c r="L387" s="483">
        <f t="shared" si="40"/>
        <v>27.642000000000003</v>
      </c>
    </row>
    <row r="388" spans="2:12" ht="14.4" x14ac:dyDescent="0.25">
      <c r="B388" s="217" t="s">
        <v>549</v>
      </c>
      <c r="C388" s="398"/>
      <c r="D388" s="389">
        <v>5.3</v>
      </c>
      <c r="E388" s="389"/>
      <c r="F388" s="389">
        <v>3.4</v>
      </c>
      <c r="G388" s="390">
        <v>1</v>
      </c>
      <c r="H388" s="389">
        <f t="shared" si="39"/>
        <v>18.02</v>
      </c>
      <c r="I388" s="481"/>
      <c r="J388" s="399"/>
      <c r="K388" s="399" t="s">
        <v>3</v>
      </c>
      <c r="L388" s="483">
        <f t="shared" si="40"/>
        <v>18.02</v>
      </c>
    </row>
    <row r="389" spans="2:12" ht="14.4" x14ac:dyDescent="0.25">
      <c r="B389" s="217" t="s">
        <v>550</v>
      </c>
      <c r="C389" s="398"/>
      <c r="D389" s="389">
        <v>2.74</v>
      </c>
      <c r="E389" s="389"/>
      <c r="F389" s="389">
        <v>3.4</v>
      </c>
      <c r="G389" s="390">
        <v>1</v>
      </c>
      <c r="H389" s="389">
        <f t="shared" si="39"/>
        <v>9.3160000000000007</v>
      </c>
      <c r="I389" s="481"/>
      <c r="J389" s="399"/>
      <c r="K389" s="399" t="s">
        <v>3</v>
      </c>
      <c r="L389" s="483">
        <f t="shared" si="40"/>
        <v>9.3160000000000007</v>
      </c>
    </row>
    <row r="390" spans="2:12" ht="14.4" x14ac:dyDescent="0.25">
      <c r="B390" s="217" t="s">
        <v>551</v>
      </c>
      <c r="C390" s="398"/>
      <c r="D390" s="389">
        <v>4.7300000000000004</v>
      </c>
      <c r="E390" s="389"/>
      <c r="F390" s="389">
        <v>3.4</v>
      </c>
      <c r="G390" s="390">
        <v>1</v>
      </c>
      <c r="H390" s="389">
        <f t="shared" si="39"/>
        <v>16.082000000000001</v>
      </c>
      <c r="I390" s="481"/>
      <c r="J390" s="399"/>
      <c r="K390" s="399" t="s">
        <v>3</v>
      </c>
      <c r="L390" s="483">
        <f t="shared" si="40"/>
        <v>16.082000000000001</v>
      </c>
    </row>
    <row r="391" spans="2:12" ht="14.4" x14ac:dyDescent="0.25">
      <c r="B391" s="217" t="s">
        <v>552</v>
      </c>
      <c r="C391" s="398"/>
      <c r="D391" s="389">
        <v>1.96</v>
      </c>
      <c r="E391" s="389"/>
      <c r="F391" s="389">
        <v>3.4</v>
      </c>
      <c r="G391" s="390">
        <v>1</v>
      </c>
      <c r="H391" s="389">
        <f t="shared" si="39"/>
        <v>6.6639999999999997</v>
      </c>
      <c r="I391" s="481"/>
      <c r="J391" s="399"/>
      <c r="K391" s="399" t="s">
        <v>3</v>
      </c>
      <c r="L391" s="483">
        <f t="shared" si="40"/>
        <v>6.6639999999999997</v>
      </c>
    </row>
    <row r="392" spans="2:12" ht="14.4" x14ac:dyDescent="0.25">
      <c r="B392" s="21" t="s">
        <v>564</v>
      </c>
      <c r="C392" s="12"/>
      <c r="D392" s="35">
        <f>SUM(D383:D391)</f>
        <v>31.720000000000002</v>
      </c>
      <c r="E392" s="459"/>
      <c r="F392" s="10"/>
      <c r="G392" s="22"/>
      <c r="H392" s="19"/>
      <c r="I392" s="19"/>
      <c r="J392" s="19"/>
      <c r="K392" s="23" t="s">
        <v>3</v>
      </c>
      <c r="L392" s="13">
        <f>SUM(L383:L391)</f>
        <v>108.9422</v>
      </c>
    </row>
    <row r="393" spans="2:12" ht="15.6" x14ac:dyDescent="0.25">
      <c r="B393" s="545" t="s">
        <v>645</v>
      </c>
      <c r="C393" s="546"/>
      <c r="D393" s="547"/>
      <c r="E393" s="547"/>
      <c r="F393" s="547"/>
      <c r="G393" s="546"/>
      <c r="H393" s="548"/>
      <c r="I393" s="549"/>
      <c r="J393" s="548"/>
      <c r="K393" s="548"/>
      <c r="L393" s="550"/>
    </row>
    <row r="394" spans="2:12" ht="15.6" x14ac:dyDescent="0.25">
      <c r="B394" s="59" t="s">
        <v>59</v>
      </c>
      <c r="C394" s="119"/>
      <c r="D394" s="120"/>
      <c r="E394" s="119"/>
      <c r="F394" s="121"/>
      <c r="G394" s="122"/>
      <c r="H394" s="123"/>
      <c r="I394" s="123"/>
      <c r="J394" s="123"/>
      <c r="K394" s="124"/>
      <c r="L394" s="125"/>
    </row>
    <row r="395" spans="2:12" ht="14.4" x14ac:dyDescent="0.25">
      <c r="B395" s="822" t="s">
        <v>1</v>
      </c>
      <c r="C395" s="55" t="s">
        <v>0</v>
      </c>
      <c r="D395" s="52" t="s">
        <v>12</v>
      </c>
      <c r="E395" s="52" t="s">
        <v>4</v>
      </c>
      <c r="F395" s="52" t="s">
        <v>2</v>
      </c>
      <c r="G395" s="52" t="s">
        <v>6</v>
      </c>
      <c r="H395" s="148" t="s">
        <v>5</v>
      </c>
      <c r="I395" s="56" t="s">
        <v>13</v>
      </c>
      <c r="J395" s="148" t="s">
        <v>14</v>
      </c>
      <c r="K395" s="822" t="s">
        <v>7</v>
      </c>
      <c r="L395" s="824" t="s">
        <v>8</v>
      </c>
    </row>
    <row r="396" spans="2:12" ht="14.4" x14ac:dyDescent="0.3">
      <c r="B396" s="828"/>
      <c r="C396" s="47" t="s">
        <v>9</v>
      </c>
      <c r="D396" s="48" t="s">
        <v>10</v>
      </c>
      <c r="E396" s="48" t="s">
        <v>10</v>
      </c>
      <c r="F396" s="48" t="s">
        <v>10</v>
      </c>
      <c r="G396" s="47" t="s">
        <v>9</v>
      </c>
      <c r="H396" s="49" t="s">
        <v>11</v>
      </c>
      <c r="I396" s="511" t="s">
        <v>11</v>
      </c>
      <c r="J396" s="49" t="s">
        <v>15</v>
      </c>
      <c r="K396" s="828"/>
      <c r="L396" s="829"/>
    </row>
    <row r="397" spans="2:12" ht="14.4" x14ac:dyDescent="0.3">
      <c r="B397" s="24" t="s">
        <v>687</v>
      </c>
      <c r="C397" s="114"/>
      <c r="D397" s="115"/>
      <c r="E397" s="115"/>
      <c r="F397" s="115"/>
      <c r="G397" s="114"/>
      <c r="H397" s="116"/>
      <c r="I397" s="117"/>
      <c r="J397" s="116"/>
      <c r="K397" s="116"/>
      <c r="L397" s="118"/>
    </row>
    <row r="398" spans="2:12" ht="14.4" x14ac:dyDescent="0.25">
      <c r="B398" s="217" t="s">
        <v>53</v>
      </c>
      <c r="C398" s="398"/>
      <c r="D398" s="483">
        <v>3.43</v>
      </c>
      <c r="E398" s="389"/>
      <c r="F398" s="483">
        <v>3.4</v>
      </c>
      <c r="G398" s="390">
        <v>1</v>
      </c>
      <c r="H398" s="483">
        <f t="shared" ref="H398:H410" si="41">D398*F398*G398-I398</f>
        <v>11.662000000000001</v>
      </c>
      <c r="I398" s="481"/>
      <c r="J398" s="399"/>
      <c r="K398" s="399" t="s">
        <v>3</v>
      </c>
      <c r="L398" s="483">
        <f t="shared" ref="L398:L410" si="42">H398</f>
        <v>11.662000000000001</v>
      </c>
    </row>
    <row r="399" spans="2:12" ht="14.4" x14ac:dyDescent="0.25">
      <c r="B399" s="217" t="s">
        <v>475</v>
      </c>
      <c r="C399" s="398"/>
      <c r="D399" s="483">
        <v>3.53</v>
      </c>
      <c r="E399" s="389"/>
      <c r="F399" s="483">
        <v>3.4</v>
      </c>
      <c r="G399" s="390">
        <v>1</v>
      </c>
      <c r="H399" s="483">
        <f t="shared" si="41"/>
        <v>12.001999999999999</v>
      </c>
      <c r="I399" s="481"/>
      <c r="J399" s="399"/>
      <c r="K399" s="399" t="s">
        <v>3</v>
      </c>
      <c r="L399" s="483">
        <f t="shared" si="42"/>
        <v>12.001999999999999</v>
      </c>
    </row>
    <row r="400" spans="2:12" ht="14.4" x14ac:dyDescent="0.25">
      <c r="B400" s="217" t="s">
        <v>476</v>
      </c>
      <c r="C400" s="398"/>
      <c r="D400" s="483">
        <v>6.7</v>
      </c>
      <c r="E400" s="389"/>
      <c r="F400" s="483">
        <v>3.4</v>
      </c>
      <c r="G400" s="390">
        <v>1</v>
      </c>
      <c r="H400" s="483">
        <f t="shared" si="41"/>
        <v>22.78</v>
      </c>
      <c r="I400" s="481"/>
      <c r="J400" s="399"/>
      <c r="K400" s="399" t="s">
        <v>3</v>
      </c>
      <c r="L400" s="483">
        <f t="shared" si="42"/>
        <v>22.78</v>
      </c>
    </row>
    <row r="401" spans="2:12" ht="14.4" x14ac:dyDescent="0.25">
      <c r="B401" s="217" t="s">
        <v>477</v>
      </c>
      <c r="C401" s="398"/>
      <c r="D401" s="483">
        <v>2.83</v>
      </c>
      <c r="E401" s="389"/>
      <c r="F401" s="483">
        <v>3.4</v>
      </c>
      <c r="G401" s="390">
        <v>1</v>
      </c>
      <c r="H401" s="483">
        <f t="shared" si="41"/>
        <v>9.6219999999999999</v>
      </c>
      <c r="I401" s="481"/>
      <c r="J401" s="399"/>
      <c r="K401" s="399" t="s">
        <v>3</v>
      </c>
      <c r="L401" s="483">
        <f t="shared" si="42"/>
        <v>9.6219999999999999</v>
      </c>
    </row>
    <row r="402" spans="2:12" ht="14.4" x14ac:dyDescent="0.25">
      <c r="B402" s="217" t="s">
        <v>478</v>
      </c>
      <c r="C402" s="398"/>
      <c r="D402" s="483">
        <v>4.32</v>
      </c>
      <c r="E402" s="389"/>
      <c r="F402" s="483">
        <v>3.4</v>
      </c>
      <c r="G402" s="390">
        <v>1</v>
      </c>
      <c r="H402" s="483">
        <f t="shared" si="41"/>
        <v>14.688000000000001</v>
      </c>
      <c r="I402" s="481"/>
      <c r="J402" s="399"/>
      <c r="K402" s="399" t="s">
        <v>3</v>
      </c>
      <c r="L402" s="483">
        <f t="shared" si="42"/>
        <v>14.688000000000001</v>
      </c>
    </row>
    <row r="403" spans="2:12" ht="14.4" x14ac:dyDescent="0.25">
      <c r="B403" s="217" t="s">
        <v>479</v>
      </c>
      <c r="C403" s="398"/>
      <c r="D403" s="483">
        <v>3.46</v>
      </c>
      <c r="E403" s="389"/>
      <c r="F403" s="483">
        <v>3.4</v>
      </c>
      <c r="G403" s="390">
        <v>1</v>
      </c>
      <c r="H403" s="483">
        <f t="shared" si="41"/>
        <v>11.763999999999999</v>
      </c>
      <c r="I403" s="481"/>
      <c r="J403" s="399"/>
      <c r="K403" s="399" t="s">
        <v>3</v>
      </c>
      <c r="L403" s="483">
        <f t="shared" si="42"/>
        <v>11.763999999999999</v>
      </c>
    </row>
    <row r="404" spans="2:12" ht="14.4" x14ac:dyDescent="0.25">
      <c r="B404" s="217" t="s">
        <v>480</v>
      </c>
      <c r="C404" s="398"/>
      <c r="D404" s="483">
        <v>3.55</v>
      </c>
      <c r="E404" s="389"/>
      <c r="F404" s="483">
        <v>3.4</v>
      </c>
      <c r="G404" s="390">
        <v>1</v>
      </c>
      <c r="H404" s="483">
        <f t="shared" si="41"/>
        <v>12.069999999999999</v>
      </c>
      <c r="I404" s="481"/>
      <c r="J404" s="399"/>
      <c r="K404" s="399" t="s">
        <v>3</v>
      </c>
      <c r="L404" s="483">
        <f t="shared" si="42"/>
        <v>12.069999999999999</v>
      </c>
    </row>
    <row r="405" spans="2:12" ht="14.4" x14ac:dyDescent="0.25">
      <c r="B405" s="217" t="s">
        <v>481</v>
      </c>
      <c r="C405" s="398"/>
      <c r="D405" s="483">
        <v>8.36</v>
      </c>
      <c r="E405" s="389"/>
      <c r="F405" s="483">
        <v>3.4</v>
      </c>
      <c r="G405" s="390">
        <v>1</v>
      </c>
      <c r="H405" s="483">
        <f t="shared" si="41"/>
        <v>28.423999999999996</v>
      </c>
      <c r="I405" s="481"/>
      <c r="J405" s="399"/>
      <c r="K405" s="399" t="s">
        <v>3</v>
      </c>
      <c r="L405" s="483">
        <f t="shared" si="42"/>
        <v>28.423999999999996</v>
      </c>
    </row>
    <row r="406" spans="2:12" ht="14.4" x14ac:dyDescent="0.25">
      <c r="B406" s="217" t="s">
        <v>482</v>
      </c>
      <c r="C406" s="398"/>
      <c r="D406" s="483">
        <v>7.12</v>
      </c>
      <c r="E406" s="389"/>
      <c r="F406" s="483">
        <v>3.4</v>
      </c>
      <c r="G406" s="390">
        <v>1</v>
      </c>
      <c r="H406" s="483">
        <f t="shared" si="41"/>
        <v>24.207999999999998</v>
      </c>
      <c r="I406" s="481"/>
      <c r="J406" s="399"/>
      <c r="K406" s="399" t="s">
        <v>3</v>
      </c>
      <c r="L406" s="483">
        <f t="shared" si="42"/>
        <v>24.207999999999998</v>
      </c>
    </row>
    <row r="407" spans="2:12" ht="14.4" x14ac:dyDescent="0.25">
      <c r="B407" s="217" t="s">
        <v>483</v>
      </c>
      <c r="C407" s="398"/>
      <c r="D407" s="483">
        <v>6.7</v>
      </c>
      <c r="E407" s="389"/>
      <c r="F407" s="483">
        <v>3.4</v>
      </c>
      <c r="G407" s="390">
        <v>1</v>
      </c>
      <c r="H407" s="483">
        <f t="shared" si="41"/>
        <v>22.78</v>
      </c>
      <c r="I407" s="481"/>
      <c r="J407" s="399"/>
      <c r="K407" s="399" t="s">
        <v>3</v>
      </c>
      <c r="L407" s="483">
        <f t="shared" si="42"/>
        <v>22.78</v>
      </c>
    </row>
    <row r="408" spans="2:12" ht="14.4" x14ac:dyDescent="0.25">
      <c r="B408" s="217" t="s">
        <v>484</v>
      </c>
      <c r="C408" s="398"/>
      <c r="D408" s="483">
        <v>6.82</v>
      </c>
      <c r="E408" s="389"/>
      <c r="F408" s="483">
        <v>3.4</v>
      </c>
      <c r="G408" s="390">
        <v>1</v>
      </c>
      <c r="H408" s="483">
        <f t="shared" si="41"/>
        <v>23.187999999999999</v>
      </c>
      <c r="I408" s="481"/>
      <c r="J408" s="399"/>
      <c r="K408" s="399" t="s">
        <v>3</v>
      </c>
      <c r="L408" s="483">
        <f t="shared" si="42"/>
        <v>23.187999999999999</v>
      </c>
    </row>
    <row r="409" spans="2:12" ht="14.4" x14ac:dyDescent="0.25">
      <c r="B409" s="217" t="s">
        <v>485</v>
      </c>
      <c r="C409" s="398"/>
      <c r="D409" s="483">
        <v>3.84</v>
      </c>
      <c r="E409" s="389"/>
      <c r="F409" s="483">
        <v>3.4</v>
      </c>
      <c r="G409" s="390">
        <v>1</v>
      </c>
      <c r="H409" s="483">
        <f t="shared" si="41"/>
        <v>13.055999999999999</v>
      </c>
      <c r="I409" s="481"/>
      <c r="J409" s="399"/>
      <c r="K409" s="399" t="s">
        <v>3</v>
      </c>
      <c r="L409" s="483">
        <f t="shared" si="42"/>
        <v>13.055999999999999</v>
      </c>
    </row>
    <row r="410" spans="2:12" ht="14.4" x14ac:dyDescent="0.25">
      <c r="B410" s="217" t="s">
        <v>486</v>
      </c>
      <c r="C410" s="398"/>
      <c r="D410" s="483">
        <v>43.29</v>
      </c>
      <c r="E410" s="389"/>
      <c r="F410" s="483">
        <v>3.4</v>
      </c>
      <c r="G410" s="390">
        <v>1</v>
      </c>
      <c r="H410" s="483">
        <f t="shared" si="41"/>
        <v>147.18600000000001</v>
      </c>
      <c r="I410" s="481"/>
      <c r="J410" s="399"/>
      <c r="K410" s="399" t="s">
        <v>3</v>
      </c>
      <c r="L410" s="483">
        <f t="shared" si="42"/>
        <v>147.18600000000001</v>
      </c>
    </row>
    <row r="411" spans="2:12" ht="14.4" x14ac:dyDescent="0.25">
      <c r="B411" s="21" t="s">
        <v>564</v>
      </c>
      <c r="C411" s="12"/>
      <c r="D411" s="35">
        <f>SUM(D398:D410)</f>
        <v>103.95000000000002</v>
      </c>
      <c r="E411" s="459"/>
      <c r="F411" s="10"/>
      <c r="G411" s="22"/>
      <c r="H411" s="19"/>
      <c r="I411" s="19"/>
      <c r="J411" s="19"/>
      <c r="K411" s="23" t="s">
        <v>3</v>
      </c>
      <c r="L411" s="13">
        <f>SUM(L398:L410)</f>
        <v>353.42999999999995</v>
      </c>
    </row>
    <row r="412" spans="2:12" ht="15.6" x14ac:dyDescent="0.25">
      <c r="B412" s="539" t="s">
        <v>644</v>
      </c>
      <c r="C412" s="540"/>
      <c r="D412" s="541"/>
      <c r="E412" s="541"/>
      <c r="F412" s="541"/>
      <c r="G412" s="540"/>
      <c r="H412" s="542"/>
      <c r="I412" s="543"/>
      <c r="J412" s="542"/>
      <c r="K412" s="542"/>
      <c r="L412" s="544"/>
    </row>
    <row r="413" spans="2:12" ht="15.6" x14ac:dyDescent="0.25">
      <c r="B413" s="59" t="s">
        <v>60</v>
      </c>
      <c r="C413" s="119"/>
      <c r="D413" s="120"/>
      <c r="E413" s="119"/>
      <c r="F413" s="121"/>
      <c r="G413" s="122"/>
      <c r="H413" s="123"/>
      <c r="I413" s="123"/>
      <c r="J413" s="123"/>
      <c r="K413" s="124"/>
      <c r="L413" s="125"/>
    </row>
    <row r="414" spans="2:12" ht="14.4" customHeight="1" x14ac:dyDescent="0.25">
      <c r="B414" s="822" t="s">
        <v>1</v>
      </c>
      <c r="C414" s="55" t="s">
        <v>0</v>
      </c>
      <c r="D414" s="52" t="s">
        <v>12</v>
      </c>
      <c r="E414" s="52" t="s">
        <v>4</v>
      </c>
      <c r="F414" s="52" t="s">
        <v>2</v>
      </c>
      <c r="G414" s="52" t="s">
        <v>6</v>
      </c>
      <c r="H414" s="148" t="s">
        <v>5</v>
      </c>
      <c r="I414" s="56" t="s">
        <v>13</v>
      </c>
      <c r="J414" s="148" t="s">
        <v>14</v>
      </c>
      <c r="K414" s="822" t="s">
        <v>7</v>
      </c>
      <c r="L414" s="824" t="s">
        <v>8</v>
      </c>
    </row>
    <row r="415" spans="2:12" ht="14.4" x14ac:dyDescent="0.3">
      <c r="B415" s="823"/>
      <c r="C415" s="80" t="s">
        <v>9</v>
      </c>
      <c r="D415" s="81" t="s">
        <v>10</v>
      </c>
      <c r="E415" s="81" t="s">
        <v>10</v>
      </c>
      <c r="F415" s="81" t="s">
        <v>10</v>
      </c>
      <c r="G415" s="80" t="s">
        <v>9</v>
      </c>
      <c r="H415" s="82" t="s">
        <v>11</v>
      </c>
      <c r="I415" s="113" t="s">
        <v>11</v>
      </c>
      <c r="J415" s="82" t="s">
        <v>15</v>
      </c>
      <c r="K415" s="823"/>
      <c r="L415" s="825"/>
    </row>
    <row r="416" spans="2:12" ht="14.4" x14ac:dyDescent="0.3">
      <c r="B416" s="20" t="s">
        <v>699</v>
      </c>
      <c r="C416" s="381"/>
      <c r="D416" s="382"/>
      <c r="E416" s="382"/>
      <c r="F416" s="382"/>
      <c r="G416" s="381"/>
      <c r="H416" s="383"/>
      <c r="I416" s="384"/>
      <c r="J416" s="383"/>
      <c r="K416" s="383"/>
      <c r="L416" s="7"/>
    </row>
    <row r="417" spans="2:12" ht="14.4" x14ac:dyDescent="0.25">
      <c r="B417" s="217" t="s">
        <v>53</v>
      </c>
      <c r="C417" s="398"/>
      <c r="D417" s="389">
        <v>0.42</v>
      </c>
      <c r="E417" s="389"/>
      <c r="F417" s="389">
        <v>3.94</v>
      </c>
      <c r="G417" s="390">
        <v>1</v>
      </c>
      <c r="H417" s="389">
        <f t="shared" ref="H417:H450" si="43">D417*F417*G417-I417</f>
        <v>1.6547999999999998</v>
      </c>
      <c r="I417" s="483"/>
      <c r="J417" s="399"/>
      <c r="K417" s="399" t="s">
        <v>3</v>
      </c>
      <c r="L417" s="389">
        <f>H417</f>
        <v>1.6547999999999998</v>
      </c>
    </row>
    <row r="418" spans="2:12" ht="14.4" x14ac:dyDescent="0.3">
      <c r="B418" s="217" t="s">
        <v>475</v>
      </c>
      <c r="C418" s="385"/>
      <c r="D418" s="386">
        <v>1.48</v>
      </c>
      <c r="E418" s="386"/>
      <c r="F418" s="386">
        <v>3.94</v>
      </c>
      <c r="G418" s="390">
        <v>1</v>
      </c>
      <c r="H418" s="389">
        <f t="shared" ref="H418" si="44">D418*F418*G418-I418</f>
        <v>1.9811999999999999</v>
      </c>
      <c r="I418" s="386">
        <v>3.85</v>
      </c>
      <c r="J418" s="387"/>
      <c r="K418" s="387" t="s">
        <v>3</v>
      </c>
      <c r="L418" s="389">
        <f t="shared" ref="L418" si="45">H418</f>
        <v>1.9811999999999999</v>
      </c>
    </row>
    <row r="419" spans="2:12" ht="14.4" x14ac:dyDescent="0.25">
      <c r="B419" s="217" t="s">
        <v>476</v>
      </c>
      <c r="C419" s="398"/>
      <c r="D419" s="389">
        <v>1.29</v>
      </c>
      <c r="E419" s="389"/>
      <c r="F419" s="389">
        <v>3.94</v>
      </c>
      <c r="G419" s="390">
        <v>1</v>
      </c>
      <c r="H419" s="389">
        <f t="shared" si="43"/>
        <v>5.0826000000000002</v>
      </c>
      <c r="I419" s="483"/>
      <c r="J419" s="399"/>
      <c r="K419" s="399" t="s">
        <v>3</v>
      </c>
      <c r="L419" s="389">
        <f t="shared" ref="L419:L450" si="46">H419</f>
        <v>5.0826000000000002</v>
      </c>
    </row>
    <row r="420" spans="2:12" ht="14.4" x14ac:dyDescent="0.25">
      <c r="B420" s="217" t="s">
        <v>477</v>
      </c>
      <c r="C420" s="398"/>
      <c r="D420" s="389">
        <v>2.29</v>
      </c>
      <c r="E420" s="389"/>
      <c r="F420" s="389">
        <v>3.94</v>
      </c>
      <c r="G420" s="390">
        <v>1</v>
      </c>
      <c r="H420" s="389">
        <f t="shared" si="43"/>
        <v>6.2926000000000002</v>
      </c>
      <c r="I420" s="483">
        <v>2.73</v>
      </c>
      <c r="J420" s="399"/>
      <c r="K420" s="399" t="s">
        <v>3</v>
      </c>
      <c r="L420" s="389">
        <f t="shared" si="46"/>
        <v>6.2926000000000002</v>
      </c>
    </row>
    <row r="421" spans="2:12" ht="14.4" x14ac:dyDescent="0.25">
      <c r="B421" s="217" t="s">
        <v>478</v>
      </c>
      <c r="C421" s="398"/>
      <c r="D421" s="389">
        <v>2.85</v>
      </c>
      <c r="E421" s="389"/>
      <c r="F421" s="389">
        <v>3.94</v>
      </c>
      <c r="G421" s="390">
        <v>1</v>
      </c>
      <c r="H421" s="389">
        <f t="shared" si="43"/>
        <v>8.7090000000000014</v>
      </c>
      <c r="I421" s="483">
        <v>2.52</v>
      </c>
      <c r="J421" s="399"/>
      <c r="K421" s="399" t="s">
        <v>3</v>
      </c>
      <c r="L421" s="389">
        <f t="shared" si="46"/>
        <v>8.7090000000000014</v>
      </c>
    </row>
    <row r="422" spans="2:12" ht="14.4" x14ac:dyDescent="0.25">
      <c r="B422" s="217" t="s">
        <v>480</v>
      </c>
      <c r="C422" s="398"/>
      <c r="D422" s="389">
        <v>0.32</v>
      </c>
      <c r="E422" s="389"/>
      <c r="F422" s="389">
        <v>3.94</v>
      </c>
      <c r="G422" s="390">
        <v>1</v>
      </c>
      <c r="H422" s="389">
        <f t="shared" si="43"/>
        <v>1.2607999999999999</v>
      </c>
      <c r="I422" s="483"/>
      <c r="J422" s="399"/>
      <c r="K422" s="399" t="s">
        <v>3</v>
      </c>
      <c r="L422" s="389">
        <f t="shared" si="46"/>
        <v>1.2607999999999999</v>
      </c>
    </row>
    <row r="423" spans="2:12" ht="14.4" x14ac:dyDescent="0.25">
      <c r="B423" s="217" t="s">
        <v>481</v>
      </c>
      <c r="C423" s="398"/>
      <c r="D423" s="389">
        <v>0.47</v>
      </c>
      <c r="E423" s="389"/>
      <c r="F423" s="389">
        <v>3.94</v>
      </c>
      <c r="G423" s="390">
        <v>1</v>
      </c>
      <c r="H423" s="389">
        <f t="shared" si="43"/>
        <v>1.8517999999999999</v>
      </c>
      <c r="I423" s="483"/>
      <c r="J423" s="399"/>
      <c r="K423" s="399" t="s">
        <v>3</v>
      </c>
      <c r="L423" s="389">
        <f t="shared" si="46"/>
        <v>1.8517999999999999</v>
      </c>
    </row>
    <row r="424" spans="2:12" ht="14.4" x14ac:dyDescent="0.25">
      <c r="B424" s="217" t="s">
        <v>485</v>
      </c>
      <c r="C424" s="398"/>
      <c r="D424" s="389">
        <v>0.48</v>
      </c>
      <c r="E424" s="389"/>
      <c r="F424" s="389">
        <v>3.94</v>
      </c>
      <c r="G424" s="390">
        <v>1</v>
      </c>
      <c r="H424" s="389">
        <f t="shared" si="43"/>
        <v>1.8912</v>
      </c>
      <c r="I424" s="483"/>
      <c r="J424" s="399"/>
      <c r="K424" s="399" t="s">
        <v>3</v>
      </c>
      <c r="L424" s="389">
        <f t="shared" si="46"/>
        <v>1.8912</v>
      </c>
    </row>
    <row r="425" spans="2:12" ht="14.4" x14ac:dyDescent="0.25">
      <c r="B425" s="217" t="s">
        <v>486</v>
      </c>
      <c r="C425" s="398"/>
      <c r="D425" s="389">
        <v>2</v>
      </c>
      <c r="E425" s="389"/>
      <c r="F425" s="389">
        <v>3.94</v>
      </c>
      <c r="G425" s="390">
        <v>1</v>
      </c>
      <c r="H425" s="389">
        <f t="shared" si="43"/>
        <v>7.88</v>
      </c>
      <c r="I425" s="483"/>
      <c r="J425" s="399"/>
      <c r="K425" s="399" t="s">
        <v>3</v>
      </c>
      <c r="L425" s="389">
        <f t="shared" si="46"/>
        <v>7.88</v>
      </c>
    </row>
    <row r="426" spans="2:12" ht="14.4" x14ac:dyDescent="0.25">
      <c r="B426" s="217" t="s">
        <v>487</v>
      </c>
      <c r="C426" s="398"/>
      <c r="D426" s="389">
        <v>0.67</v>
      </c>
      <c r="E426" s="389"/>
      <c r="F426" s="389">
        <v>3.94</v>
      </c>
      <c r="G426" s="390">
        <v>1</v>
      </c>
      <c r="H426" s="389">
        <f t="shared" si="43"/>
        <v>2.6398000000000001</v>
      </c>
      <c r="I426" s="483"/>
      <c r="J426" s="399"/>
      <c r="K426" s="399" t="s">
        <v>3</v>
      </c>
      <c r="L426" s="389">
        <f t="shared" si="46"/>
        <v>2.6398000000000001</v>
      </c>
    </row>
    <row r="427" spans="2:12" ht="14.4" x14ac:dyDescent="0.25">
      <c r="B427" s="217" t="s">
        <v>490</v>
      </c>
      <c r="C427" s="398"/>
      <c r="D427" s="389">
        <v>2.1</v>
      </c>
      <c r="E427" s="389"/>
      <c r="F427" s="389">
        <v>3.94</v>
      </c>
      <c r="G427" s="390">
        <v>1</v>
      </c>
      <c r="H427" s="389">
        <f t="shared" si="43"/>
        <v>8.2740000000000009</v>
      </c>
      <c r="I427" s="483"/>
      <c r="J427" s="399"/>
      <c r="K427" s="399" t="s">
        <v>3</v>
      </c>
      <c r="L427" s="389">
        <f t="shared" si="46"/>
        <v>8.2740000000000009</v>
      </c>
    </row>
    <row r="428" spans="2:12" ht="14.4" x14ac:dyDescent="0.25">
      <c r="B428" s="217" t="s">
        <v>491</v>
      </c>
      <c r="C428" s="398"/>
      <c r="D428" s="389">
        <v>2.83</v>
      </c>
      <c r="E428" s="389"/>
      <c r="F428" s="389">
        <v>3.94</v>
      </c>
      <c r="G428" s="390">
        <v>2</v>
      </c>
      <c r="H428" s="389">
        <f t="shared" si="43"/>
        <v>22.3004</v>
      </c>
      <c r="I428" s="483"/>
      <c r="J428" s="399"/>
      <c r="K428" s="399" t="s">
        <v>3</v>
      </c>
      <c r="L428" s="389">
        <f t="shared" si="46"/>
        <v>22.3004</v>
      </c>
    </row>
    <row r="429" spans="2:12" ht="14.4" x14ac:dyDescent="0.25">
      <c r="B429" s="217" t="s">
        <v>492</v>
      </c>
      <c r="C429" s="398"/>
      <c r="D429" s="389">
        <v>2.9</v>
      </c>
      <c r="E429" s="389"/>
      <c r="F429" s="389">
        <v>3.94</v>
      </c>
      <c r="G429" s="390">
        <v>1</v>
      </c>
      <c r="H429" s="389">
        <f t="shared" si="43"/>
        <v>11.426</v>
      </c>
      <c r="I429" s="483"/>
      <c r="J429" s="399"/>
      <c r="K429" s="399" t="s">
        <v>3</v>
      </c>
      <c r="L429" s="389">
        <f t="shared" si="46"/>
        <v>11.426</v>
      </c>
    </row>
    <row r="430" spans="2:12" ht="14.4" x14ac:dyDescent="0.25">
      <c r="B430" s="217" t="s">
        <v>494</v>
      </c>
      <c r="C430" s="398"/>
      <c r="D430" s="389">
        <v>4.33</v>
      </c>
      <c r="E430" s="389"/>
      <c r="F430" s="389">
        <v>3.94</v>
      </c>
      <c r="G430" s="390">
        <v>1</v>
      </c>
      <c r="H430" s="389">
        <f t="shared" si="43"/>
        <v>17.060200000000002</v>
      </c>
      <c r="I430" s="483"/>
      <c r="J430" s="399"/>
      <c r="K430" s="399" t="s">
        <v>3</v>
      </c>
      <c r="L430" s="389">
        <f t="shared" si="46"/>
        <v>17.060200000000002</v>
      </c>
    </row>
    <row r="431" spans="2:12" ht="14.4" x14ac:dyDescent="0.25">
      <c r="B431" s="217" t="s">
        <v>495</v>
      </c>
      <c r="C431" s="398"/>
      <c r="D431" s="389">
        <v>2.87</v>
      </c>
      <c r="E431" s="389"/>
      <c r="F431" s="389">
        <v>3.94</v>
      </c>
      <c r="G431" s="390">
        <v>2</v>
      </c>
      <c r="H431" s="389">
        <f t="shared" si="43"/>
        <v>22.615600000000001</v>
      </c>
      <c r="I431" s="483"/>
      <c r="J431" s="399"/>
      <c r="K431" s="399" t="s">
        <v>3</v>
      </c>
      <c r="L431" s="389">
        <f t="shared" si="46"/>
        <v>22.615600000000001</v>
      </c>
    </row>
    <row r="432" spans="2:12" ht="14.4" x14ac:dyDescent="0.25">
      <c r="B432" s="217" t="s">
        <v>500</v>
      </c>
      <c r="C432" s="398"/>
      <c r="D432" s="389">
        <v>4.88</v>
      </c>
      <c r="E432" s="389"/>
      <c r="F432" s="389">
        <v>3.94</v>
      </c>
      <c r="G432" s="390">
        <v>1</v>
      </c>
      <c r="H432" s="389">
        <f t="shared" si="43"/>
        <v>19.2272</v>
      </c>
      <c r="I432" s="483"/>
      <c r="J432" s="399"/>
      <c r="K432" s="399" t="s">
        <v>3</v>
      </c>
      <c r="L432" s="389">
        <f t="shared" si="46"/>
        <v>19.2272</v>
      </c>
    </row>
    <row r="433" spans="2:12" ht="14.4" x14ac:dyDescent="0.25">
      <c r="B433" s="217" t="s">
        <v>504</v>
      </c>
      <c r="C433" s="398"/>
      <c r="D433" s="389">
        <v>4.07</v>
      </c>
      <c r="E433" s="389"/>
      <c r="F433" s="389">
        <v>3.94</v>
      </c>
      <c r="G433" s="390">
        <v>1</v>
      </c>
      <c r="H433" s="389">
        <f t="shared" si="43"/>
        <v>16.035800000000002</v>
      </c>
      <c r="I433" s="483"/>
      <c r="J433" s="399"/>
      <c r="K433" s="399" t="s">
        <v>3</v>
      </c>
      <c r="L433" s="389">
        <f t="shared" si="46"/>
        <v>16.035800000000002</v>
      </c>
    </row>
    <row r="434" spans="2:12" ht="14.4" x14ac:dyDescent="0.25">
      <c r="B434" s="217" t="s">
        <v>514</v>
      </c>
      <c r="C434" s="398"/>
      <c r="D434" s="389">
        <v>3.03</v>
      </c>
      <c r="E434" s="389"/>
      <c r="F434" s="389">
        <v>3.94</v>
      </c>
      <c r="G434" s="390">
        <v>1</v>
      </c>
      <c r="H434" s="389">
        <f t="shared" si="43"/>
        <v>11.938199999999998</v>
      </c>
      <c r="I434" s="483"/>
      <c r="J434" s="399"/>
      <c r="K434" s="399" t="s">
        <v>3</v>
      </c>
      <c r="L434" s="389">
        <f t="shared" si="46"/>
        <v>11.938199999999998</v>
      </c>
    </row>
    <row r="435" spans="2:12" ht="14.4" x14ac:dyDescent="0.25">
      <c r="B435" s="217" t="s">
        <v>516</v>
      </c>
      <c r="C435" s="398"/>
      <c r="D435" s="389">
        <v>2.7</v>
      </c>
      <c r="E435" s="389"/>
      <c r="F435" s="389">
        <v>3.94</v>
      </c>
      <c r="G435" s="390">
        <v>2</v>
      </c>
      <c r="H435" s="389">
        <f t="shared" si="43"/>
        <v>21.276</v>
      </c>
      <c r="I435" s="483"/>
      <c r="J435" s="399"/>
      <c r="K435" s="399" t="s">
        <v>3</v>
      </c>
      <c r="L435" s="389">
        <f t="shared" si="46"/>
        <v>21.276</v>
      </c>
    </row>
    <row r="436" spans="2:12" ht="14.4" x14ac:dyDescent="0.25">
      <c r="B436" s="217" t="s">
        <v>520</v>
      </c>
      <c r="C436" s="398"/>
      <c r="D436" s="389">
        <v>5.61</v>
      </c>
      <c r="E436" s="389"/>
      <c r="F436" s="389">
        <v>3.94</v>
      </c>
      <c r="G436" s="390">
        <v>1</v>
      </c>
      <c r="H436" s="389">
        <f t="shared" si="43"/>
        <v>22.103400000000001</v>
      </c>
      <c r="I436" s="483"/>
      <c r="J436" s="399"/>
      <c r="K436" s="399" t="s">
        <v>3</v>
      </c>
      <c r="L436" s="389">
        <f t="shared" si="46"/>
        <v>22.103400000000001</v>
      </c>
    </row>
    <row r="437" spans="2:12" ht="14.4" x14ac:dyDescent="0.25">
      <c r="B437" s="217" t="s">
        <v>521</v>
      </c>
      <c r="C437" s="398"/>
      <c r="D437" s="389">
        <v>2.75</v>
      </c>
      <c r="E437" s="389"/>
      <c r="F437" s="389">
        <v>3.94</v>
      </c>
      <c r="G437" s="390">
        <v>1</v>
      </c>
      <c r="H437" s="389">
        <f t="shared" si="43"/>
        <v>10.834999999999999</v>
      </c>
      <c r="I437" s="483"/>
      <c r="J437" s="399"/>
      <c r="K437" s="399" t="s">
        <v>3</v>
      </c>
      <c r="L437" s="389">
        <f t="shared" si="46"/>
        <v>10.834999999999999</v>
      </c>
    </row>
    <row r="438" spans="2:12" ht="14.4" x14ac:dyDescent="0.25">
      <c r="B438" s="217" t="s">
        <v>522</v>
      </c>
      <c r="C438" s="398"/>
      <c r="D438" s="389">
        <v>1.1100000000000001</v>
      </c>
      <c r="E438" s="389"/>
      <c r="F438" s="389">
        <v>3.94</v>
      </c>
      <c r="G438" s="390">
        <v>1</v>
      </c>
      <c r="H438" s="389">
        <f t="shared" si="43"/>
        <v>4.3734000000000002</v>
      </c>
      <c r="I438" s="483"/>
      <c r="J438" s="399"/>
      <c r="K438" s="399" t="s">
        <v>3</v>
      </c>
      <c r="L438" s="389">
        <f t="shared" si="46"/>
        <v>4.3734000000000002</v>
      </c>
    </row>
    <row r="439" spans="2:12" ht="14.4" x14ac:dyDescent="0.25">
      <c r="B439" s="217" t="s">
        <v>523</v>
      </c>
      <c r="C439" s="398"/>
      <c r="D439" s="389">
        <v>1.68</v>
      </c>
      <c r="E439" s="389"/>
      <c r="F439" s="389">
        <v>3.94</v>
      </c>
      <c r="G439" s="390">
        <v>1</v>
      </c>
      <c r="H439" s="389">
        <f t="shared" si="43"/>
        <v>6.6191999999999993</v>
      </c>
      <c r="I439" s="483"/>
      <c r="J439" s="399"/>
      <c r="K439" s="399" t="s">
        <v>3</v>
      </c>
      <c r="L439" s="389">
        <f t="shared" si="46"/>
        <v>6.6191999999999993</v>
      </c>
    </row>
    <row r="440" spans="2:12" ht="14.4" x14ac:dyDescent="0.25">
      <c r="B440" s="217" t="s">
        <v>524</v>
      </c>
      <c r="C440" s="398"/>
      <c r="D440" s="389">
        <v>1.5</v>
      </c>
      <c r="E440" s="389"/>
      <c r="F440" s="389">
        <v>3.94</v>
      </c>
      <c r="G440" s="390">
        <v>1</v>
      </c>
      <c r="H440" s="389">
        <f t="shared" si="43"/>
        <v>5.91</v>
      </c>
      <c r="I440" s="483"/>
      <c r="J440" s="399"/>
      <c r="K440" s="399" t="s">
        <v>3</v>
      </c>
      <c r="L440" s="389">
        <f t="shared" si="46"/>
        <v>5.91</v>
      </c>
    </row>
    <row r="441" spans="2:12" ht="14.4" x14ac:dyDescent="0.25">
      <c r="B441" s="217" t="s">
        <v>526</v>
      </c>
      <c r="C441" s="398"/>
      <c r="D441" s="389">
        <v>1.5</v>
      </c>
      <c r="E441" s="389"/>
      <c r="F441" s="389">
        <v>3.94</v>
      </c>
      <c r="G441" s="390">
        <v>3</v>
      </c>
      <c r="H441" s="389">
        <f t="shared" si="43"/>
        <v>17.73</v>
      </c>
      <c r="I441" s="483"/>
      <c r="J441" s="399"/>
      <c r="K441" s="399" t="s">
        <v>3</v>
      </c>
      <c r="L441" s="389">
        <f t="shared" si="46"/>
        <v>17.73</v>
      </c>
    </row>
    <row r="442" spans="2:12" ht="14.4" x14ac:dyDescent="0.25">
      <c r="B442" s="217" t="s">
        <v>527</v>
      </c>
      <c r="C442" s="398"/>
      <c r="D442" s="389">
        <v>0.7</v>
      </c>
      <c r="E442" s="389"/>
      <c r="F442" s="389">
        <v>3.94</v>
      </c>
      <c r="G442" s="390">
        <v>1</v>
      </c>
      <c r="H442" s="389">
        <f t="shared" si="43"/>
        <v>2.758</v>
      </c>
      <c r="I442" s="483"/>
      <c r="J442" s="399"/>
      <c r="K442" s="399" t="s">
        <v>3</v>
      </c>
      <c r="L442" s="389">
        <f t="shared" si="46"/>
        <v>2.758</v>
      </c>
    </row>
    <row r="443" spans="2:12" ht="14.4" x14ac:dyDescent="0.25">
      <c r="B443" s="217" t="s">
        <v>528</v>
      </c>
      <c r="C443" s="398"/>
      <c r="D443" s="389">
        <v>2.5</v>
      </c>
      <c r="E443" s="389"/>
      <c r="F443" s="389">
        <v>3.94</v>
      </c>
      <c r="G443" s="390">
        <v>1</v>
      </c>
      <c r="H443" s="389">
        <f t="shared" si="43"/>
        <v>9.85</v>
      </c>
      <c r="I443" s="483"/>
      <c r="J443" s="399"/>
      <c r="K443" s="399" t="s">
        <v>3</v>
      </c>
      <c r="L443" s="389">
        <f t="shared" si="46"/>
        <v>9.85</v>
      </c>
    </row>
    <row r="444" spans="2:12" ht="14.4" x14ac:dyDescent="0.25">
      <c r="B444" s="217" t="s">
        <v>529</v>
      </c>
      <c r="C444" s="398"/>
      <c r="D444" s="389">
        <v>4.1500000000000004</v>
      </c>
      <c r="E444" s="389"/>
      <c r="F444" s="389">
        <v>3.94</v>
      </c>
      <c r="G444" s="390">
        <v>2</v>
      </c>
      <c r="H444" s="389">
        <f t="shared" si="43"/>
        <v>32.702000000000005</v>
      </c>
      <c r="I444" s="483"/>
      <c r="J444" s="399"/>
      <c r="K444" s="399" t="s">
        <v>3</v>
      </c>
      <c r="L444" s="389">
        <f t="shared" si="46"/>
        <v>32.702000000000005</v>
      </c>
    </row>
    <row r="445" spans="2:12" ht="14.4" x14ac:dyDescent="0.25">
      <c r="B445" s="217" t="s">
        <v>533</v>
      </c>
      <c r="C445" s="398"/>
      <c r="D445" s="389">
        <v>2.25</v>
      </c>
      <c r="E445" s="389"/>
      <c r="F445" s="389">
        <v>3.94</v>
      </c>
      <c r="G445" s="390">
        <v>2</v>
      </c>
      <c r="H445" s="389">
        <f t="shared" si="43"/>
        <v>17.73</v>
      </c>
      <c r="I445" s="483"/>
      <c r="J445" s="399"/>
      <c r="K445" s="399" t="s">
        <v>3</v>
      </c>
      <c r="L445" s="389">
        <f t="shared" si="46"/>
        <v>17.73</v>
      </c>
    </row>
    <row r="446" spans="2:12" ht="14.4" x14ac:dyDescent="0.25">
      <c r="B446" s="217" t="s">
        <v>540</v>
      </c>
      <c r="C446" s="398"/>
      <c r="D446" s="389">
        <v>1.84</v>
      </c>
      <c r="E446" s="389"/>
      <c r="F446" s="389">
        <v>3.94</v>
      </c>
      <c r="G446" s="390">
        <v>4</v>
      </c>
      <c r="H446" s="389">
        <f t="shared" si="43"/>
        <v>28.9984</v>
      </c>
      <c r="I446" s="483"/>
      <c r="J446" s="399"/>
      <c r="K446" s="399" t="s">
        <v>3</v>
      </c>
      <c r="L446" s="389">
        <f t="shared" si="46"/>
        <v>28.9984</v>
      </c>
    </row>
    <row r="447" spans="2:12" ht="14.4" x14ac:dyDescent="0.25">
      <c r="B447" s="217" t="s">
        <v>542</v>
      </c>
      <c r="C447" s="398"/>
      <c r="D447" s="389">
        <v>8.18</v>
      </c>
      <c r="E447" s="389"/>
      <c r="F447" s="389">
        <v>3.94</v>
      </c>
      <c r="G447" s="390">
        <v>2</v>
      </c>
      <c r="H447" s="389">
        <f t="shared" si="43"/>
        <v>64.458399999999997</v>
      </c>
      <c r="I447" s="483"/>
      <c r="J447" s="399"/>
      <c r="K447" s="399" t="s">
        <v>3</v>
      </c>
      <c r="L447" s="389">
        <f t="shared" si="46"/>
        <v>64.458399999999997</v>
      </c>
    </row>
    <row r="448" spans="2:12" ht="14.4" x14ac:dyDescent="0.25">
      <c r="B448" s="217" t="s">
        <v>543</v>
      </c>
      <c r="C448" s="398"/>
      <c r="D448" s="389">
        <v>5.2</v>
      </c>
      <c r="E448" s="389"/>
      <c r="F448" s="389">
        <v>3.94</v>
      </c>
      <c r="G448" s="390">
        <v>1</v>
      </c>
      <c r="H448" s="389">
        <f t="shared" si="43"/>
        <v>20.488</v>
      </c>
      <c r="I448" s="483"/>
      <c r="J448" s="399"/>
      <c r="K448" s="399" t="s">
        <v>3</v>
      </c>
      <c r="L448" s="389">
        <f t="shared" si="46"/>
        <v>20.488</v>
      </c>
    </row>
    <row r="449" spans="2:12" ht="14.4" x14ac:dyDescent="0.25">
      <c r="B449" s="217" t="s">
        <v>544</v>
      </c>
      <c r="C449" s="398"/>
      <c r="D449" s="389">
        <v>6.78</v>
      </c>
      <c r="E449" s="389"/>
      <c r="F449" s="389">
        <v>3.94</v>
      </c>
      <c r="G449" s="390">
        <v>1</v>
      </c>
      <c r="H449" s="389">
        <f t="shared" si="43"/>
        <v>26.713200000000001</v>
      </c>
      <c r="I449" s="483"/>
      <c r="J449" s="399"/>
      <c r="K449" s="399" t="s">
        <v>3</v>
      </c>
      <c r="L449" s="389">
        <f t="shared" si="46"/>
        <v>26.713200000000001</v>
      </c>
    </row>
    <row r="450" spans="2:12" ht="14.4" x14ac:dyDescent="0.25">
      <c r="B450" s="527" t="s">
        <v>549</v>
      </c>
      <c r="C450" s="398"/>
      <c r="D450" s="389">
        <v>2.2599999999999998</v>
      </c>
      <c r="E450" s="389"/>
      <c r="F450" s="389">
        <v>3.94</v>
      </c>
      <c r="G450" s="390">
        <v>2</v>
      </c>
      <c r="H450" s="389">
        <f t="shared" si="43"/>
        <v>10.668799999999997</v>
      </c>
      <c r="I450" s="483">
        <v>7.14</v>
      </c>
      <c r="J450" s="399"/>
      <c r="K450" s="399" t="s">
        <v>3</v>
      </c>
      <c r="L450" s="389">
        <f t="shared" si="46"/>
        <v>10.668799999999997</v>
      </c>
    </row>
    <row r="451" spans="2:12" ht="14.4" x14ac:dyDescent="0.25">
      <c r="B451" s="391" t="s">
        <v>563</v>
      </c>
      <c r="C451" s="205"/>
      <c r="D451" s="392">
        <f>SUM(D417:D450)</f>
        <v>89.990000000000009</v>
      </c>
      <c r="E451" s="401"/>
      <c r="F451" s="393"/>
      <c r="G451" s="394"/>
      <c r="H451" s="395"/>
      <c r="I451" s="395"/>
      <c r="J451" s="395"/>
      <c r="K451" s="396" t="s">
        <v>3</v>
      </c>
      <c r="L451" s="397">
        <f>SUM(L417:L450)</f>
        <v>471.33499999999998</v>
      </c>
    </row>
    <row r="452" spans="2:12" ht="14.4" x14ac:dyDescent="0.25">
      <c r="B452" s="822" t="s">
        <v>1</v>
      </c>
      <c r="C452" s="55" t="s">
        <v>0</v>
      </c>
      <c r="D452" s="52" t="s">
        <v>12</v>
      </c>
      <c r="E452" s="52" t="s">
        <v>4</v>
      </c>
      <c r="F452" s="52" t="s">
        <v>2</v>
      </c>
      <c r="G452" s="52" t="s">
        <v>6</v>
      </c>
      <c r="H452" s="148" t="s">
        <v>5</v>
      </c>
      <c r="I452" s="56" t="s">
        <v>13</v>
      </c>
      <c r="J452" s="148" t="s">
        <v>14</v>
      </c>
      <c r="K452" s="822" t="s">
        <v>7</v>
      </c>
      <c r="L452" s="824" t="s">
        <v>8</v>
      </c>
    </row>
    <row r="453" spans="2:12" ht="14.4" x14ac:dyDescent="0.3">
      <c r="B453" s="823"/>
      <c r="C453" s="80" t="s">
        <v>9</v>
      </c>
      <c r="D453" s="81" t="s">
        <v>10</v>
      </c>
      <c r="E453" s="81" t="s">
        <v>10</v>
      </c>
      <c r="F453" s="81" t="s">
        <v>10</v>
      </c>
      <c r="G453" s="80" t="s">
        <v>9</v>
      </c>
      <c r="H453" s="82" t="s">
        <v>11</v>
      </c>
      <c r="I453" s="113" t="s">
        <v>11</v>
      </c>
      <c r="J453" s="82" t="s">
        <v>15</v>
      </c>
      <c r="K453" s="823"/>
      <c r="L453" s="825"/>
    </row>
    <row r="454" spans="2:12" ht="14.4" x14ac:dyDescent="0.3">
      <c r="B454" s="20" t="s">
        <v>701</v>
      </c>
      <c r="C454" s="381"/>
      <c r="D454" s="382"/>
      <c r="E454" s="382"/>
      <c r="F454" s="382"/>
      <c r="G454" s="381"/>
      <c r="H454" s="383"/>
      <c r="I454" s="384"/>
      <c r="J454" s="383"/>
      <c r="K454" s="383"/>
      <c r="L454" s="7"/>
    </row>
    <row r="455" spans="2:12" ht="14.4" x14ac:dyDescent="0.25">
      <c r="B455" s="15" t="s">
        <v>479</v>
      </c>
      <c r="C455" s="11"/>
      <c r="D455" s="16">
        <v>4.5999999999999996</v>
      </c>
      <c r="E455" s="479"/>
      <c r="F455" s="16">
        <v>3.94</v>
      </c>
      <c r="G455" s="478">
        <v>1</v>
      </c>
      <c r="H455" s="389">
        <f t="shared" ref="H455:H482" si="47">D455*F455*G455-I455</f>
        <v>9.2839999999999989</v>
      </c>
      <c r="I455" s="92">
        <v>8.84</v>
      </c>
      <c r="J455" s="17"/>
      <c r="K455" s="50" t="s">
        <v>3</v>
      </c>
      <c r="L455" s="389">
        <f t="shared" ref="L455:L482" si="48">H455</f>
        <v>9.2839999999999989</v>
      </c>
    </row>
    <row r="456" spans="2:12" ht="14.4" x14ac:dyDescent="0.25">
      <c r="B456" s="15" t="s">
        <v>488</v>
      </c>
      <c r="C456" s="11"/>
      <c r="D456" s="16">
        <v>0.6</v>
      </c>
      <c r="E456" s="479"/>
      <c r="F456" s="16">
        <v>3.94</v>
      </c>
      <c r="G456" s="478">
        <v>1</v>
      </c>
      <c r="H456" s="389">
        <f t="shared" si="47"/>
        <v>2.3639999999999999</v>
      </c>
      <c r="I456" s="92"/>
      <c r="J456" s="17"/>
      <c r="K456" s="50" t="s">
        <v>3</v>
      </c>
      <c r="L456" s="389">
        <f t="shared" si="48"/>
        <v>2.3639999999999999</v>
      </c>
    </row>
    <row r="457" spans="2:12" ht="14.4" x14ac:dyDescent="0.25">
      <c r="B457" s="15" t="s">
        <v>489</v>
      </c>
      <c r="C457" s="11"/>
      <c r="D457" s="16">
        <v>3.49</v>
      </c>
      <c r="E457" s="479"/>
      <c r="F457" s="16">
        <v>3.94</v>
      </c>
      <c r="G457" s="478">
        <v>1</v>
      </c>
      <c r="H457" s="389">
        <f t="shared" si="47"/>
        <v>13.7506</v>
      </c>
      <c r="I457" s="92"/>
      <c r="J457" s="17"/>
      <c r="K457" s="50" t="s">
        <v>3</v>
      </c>
      <c r="L457" s="389">
        <f t="shared" si="48"/>
        <v>13.7506</v>
      </c>
    </row>
    <row r="458" spans="2:12" ht="14.4" x14ac:dyDescent="0.25">
      <c r="B458" s="15" t="s">
        <v>493</v>
      </c>
      <c r="C458" s="11"/>
      <c r="D458" s="16">
        <v>3.3</v>
      </c>
      <c r="E458" s="479"/>
      <c r="F458" s="16">
        <v>3.94</v>
      </c>
      <c r="G458" s="478">
        <v>1</v>
      </c>
      <c r="H458" s="389">
        <f t="shared" si="47"/>
        <v>13.001999999999999</v>
      </c>
      <c r="I458" s="92"/>
      <c r="J458" s="17"/>
      <c r="K458" s="50" t="s">
        <v>3</v>
      </c>
      <c r="L458" s="389">
        <f t="shared" si="48"/>
        <v>13.001999999999999</v>
      </c>
    </row>
    <row r="459" spans="2:12" ht="14.4" x14ac:dyDescent="0.25">
      <c r="B459" s="15" t="s">
        <v>496</v>
      </c>
      <c r="C459" s="11"/>
      <c r="D459" s="16">
        <v>7.49</v>
      </c>
      <c r="E459" s="479"/>
      <c r="F459" s="16">
        <v>3.94</v>
      </c>
      <c r="G459" s="478">
        <v>2</v>
      </c>
      <c r="H459" s="389">
        <f t="shared" si="47"/>
        <v>59.0212</v>
      </c>
      <c r="I459" s="92"/>
      <c r="J459" s="17"/>
      <c r="K459" s="50" t="s">
        <v>3</v>
      </c>
      <c r="L459" s="389">
        <f t="shared" si="48"/>
        <v>59.0212</v>
      </c>
    </row>
    <row r="460" spans="2:12" ht="14.4" x14ac:dyDescent="0.25">
      <c r="B460" s="15" t="s">
        <v>497</v>
      </c>
      <c r="C460" s="11"/>
      <c r="D460" s="16">
        <v>1.8</v>
      </c>
      <c r="E460" s="479"/>
      <c r="F460" s="16">
        <v>3.94</v>
      </c>
      <c r="G460" s="478">
        <v>2</v>
      </c>
      <c r="H460" s="389">
        <f t="shared" si="47"/>
        <v>14.183999999999999</v>
      </c>
      <c r="I460" s="92"/>
      <c r="J460" s="17"/>
      <c r="K460" s="50" t="s">
        <v>3</v>
      </c>
      <c r="L460" s="389">
        <f t="shared" si="48"/>
        <v>14.183999999999999</v>
      </c>
    </row>
    <row r="461" spans="2:12" ht="14.4" x14ac:dyDescent="0.25">
      <c r="B461" s="15" t="s">
        <v>499</v>
      </c>
      <c r="C461" s="11"/>
      <c r="D461" s="16">
        <v>2.1</v>
      </c>
      <c r="E461" s="479"/>
      <c r="F461" s="16">
        <v>3.94</v>
      </c>
      <c r="G461" s="478">
        <v>1</v>
      </c>
      <c r="H461" s="389">
        <f t="shared" si="47"/>
        <v>8.2740000000000009</v>
      </c>
      <c r="I461" s="92"/>
      <c r="J461" s="17"/>
      <c r="K461" s="50" t="s">
        <v>3</v>
      </c>
      <c r="L461" s="389">
        <f t="shared" si="48"/>
        <v>8.2740000000000009</v>
      </c>
    </row>
    <row r="462" spans="2:12" ht="14.4" x14ac:dyDescent="0.25">
      <c r="B462" s="15" t="s">
        <v>501</v>
      </c>
      <c r="C462" s="11"/>
      <c r="D462" s="16">
        <v>2.75</v>
      </c>
      <c r="E462" s="479"/>
      <c r="F462" s="16">
        <v>3.94</v>
      </c>
      <c r="G462" s="478">
        <v>1</v>
      </c>
      <c r="H462" s="389">
        <f t="shared" si="47"/>
        <v>10.834999999999999</v>
      </c>
      <c r="I462" s="92"/>
      <c r="J462" s="17"/>
      <c r="K462" s="50" t="s">
        <v>3</v>
      </c>
      <c r="L462" s="389">
        <f t="shared" si="48"/>
        <v>10.834999999999999</v>
      </c>
    </row>
    <row r="463" spans="2:12" ht="14.4" x14ac:dyDescent="0.25">
      <c r="B463" s="15" t="s">
        <v>502</v>
      </c>
      <c r="C463" s="11"/>
      <c r="D463" s="16">
        <v>1.65</v>
      </c>
      <c r="E463" s="479"/>
      <c r="F463" s="16">
        <v>3.94</v>
      </c>
      <c r="G463" s="478">
        <v>1</v>
      </c>
      <c r="H463" s="389">
        <f t="shared" si="47"/>
        <v>6.5009999999999994</v>
      </c>
      <c r="I463" s="92"/>
      <c r="J463" s="17"/>
      <c r="K463" s="50" t="s">
        <v>3</v>
      </c>
      <c r="L463" s="389">
        <f t="shared" si="48"/>
        <v>6.5009999999999994</v>
      </c>
    </row>
    <row r="464" spans="2:12" ht="14.4" x14ac:dyDescent="0.25">
      <c r="B464" s="15" t="s">
        <v>503</v>
      </c>
      <c r="C464" s="11"/>
      <c r="D464" s="16">
        <v>2.4500000000000002</v>
      </c>
      <c r="E464" s="479"/>
      <c r="F464" s="16">
        <v>3.94</v>
      </c>
      <c r="G464" s="478">
        <v>1</v>
      </c>
      <c r="H464" s="389">
        <f t="shared" si="47"/>
        <v>9.6530000000000005</v>
      </c>
      <c r="I464" s="92"/>
      <c r="J464" s="17"/>
      <c r="K464" s="50" t="s">
        <v>3</v>
      </c>
      <c r="L464" s="389">
        <f t="shared" si="48"/>
        <v>9.6530000000000005</v>
      </c>
    </row>
    <row r="465" spans="2:12" ht="14.4" x14ac:dyDescent="0.25">
      <c r="B465" s="15" t="s">
        <v>505</v>
      </c>
      <c r="C465" s="11"/>
      <c r="D465" s="16">
        <v>0.96</v>
      </c>
      <c r="E465" s="479"/>
      <c r="F465" s="16">
        <v>3.94</v>
      </c>
      <c r="G465" s="478">
        <v>1</v>
      </c>
      <c r="H465" s="389">
        <f t="shared" si="47"/>
        <v>3.7824</v>
      </c>
      <c r="I465" s="92"/>
      <c r="J465" s="17"/>
      <c r="K465" s="50" t="s">
        <v>3</v>
      </c>
      <c r="L465" s="389">
        <f t="shared" si="48"/>
        <v>3.7824</v>
      </c>
    </row>
    <row r="466" spans="2:12" ht="14.4" x14ac:dyDescent="0.25">
      <c r="B466" s="15" t="s">
        <v>506</v>
      </c>
      <c r="C466" s="11"/>
      <c r="D466" s="16">
        <v>4.88</v>
      </c>
      <c r="E466" s="479"/>
      <c r="F466" s="16">
        <v>3.94</v>
      </c>
      <c r="G466" s="478">
        <v>1</v>
      </c>
      <c r="H466" s="389">
        <f t="shared" si="47"/>
        <v>19.2272</v>
      </c>
      <c r="I466" s="92"/>
      <c r="J466" s="17"/>
      <c r="K466" s="50" t="s">
        <v>3</v>
      </c>
      <c r="L466" s="389">
        <f t="shared" si="48"/>
        <v>19.2272</v>
      </c>
    </row>
    <row r="467" spans="2:12" ht="14.4" x14ac:dyDescent="0.25">
      <c r="B467" s="15" t="s">
        <v>507</v>
      </c>
      <c r="C467" s="11"/>
      <c r="D467" s="16">
        <v>5.61</v>
      </c>
      <c r="E467" s="479"/>
      <c r="F467" s="16">
        <v>3.94</v>
      </c>
      <c r="G467" s="478">
        <v>1</v>
      </c>
      <c r="H467" s="389">
        <f t="shared" si="47"/>
        <v>22.103400000000001</v>
      </c>
      <c r="I467" s="92"/>
      <c r="J467" s="17"/>
      <c r="K467" s="50" t="s">
        <v>3</v>
      </c>
      <c r="L467" s="389">
        <f t="shared" si="48"/>
        <v>22.103400000000001</v>
      </c>
    </row>
    <row r="468" spans="2:12" ht="14.4" x14ac:dyDescent="0.25">
      <c r="B468" s="15" t="s">
        <v>508</v>
      </c>
      <c r="C468" s="11"/>
      <c r="D468" s="16">
        <v>2.4500000000000002</v>
      </c>
      <c r="E468" s="479"/>
      <c r="F468" s="16">
        <v>3.94</v>
      </c>
      <c r="G468" s="478">
        <v>1</v>
      </c>
      <c r="H468" s="389">
        <f t="shared" si="47"/>
        <v>9.6530000000000005</v>
      </c>
      <c r="I468" s="92"/>
      <c r="J468" s="17"/>
      <c r="K468" s="50" t="s">
        <v>3</v>
      </c>
      <c r="L468" s="389">
        <f t="shared" si="48"/>
        <v>9.6530000000000005</v>
      </c>
    </row>
    <row r="469" spans="2:12" ht="14.4" x14ac:dyDescent="0.25">
      <c r="B469" s="15" t="s">
        <v>511</v>
      </c>
      <c r="C469" s="11"/>
      <c r="D469" s="16">
        <v>3.85</v>
      </c>
      <c r="E469" s="479"/>
      <c r="F469" s="16">
        <v>3.94</v>
      </c>
      <c r="G469" s="478">
        <v>1</v>
      </c>
      <c r="H469" s="389">
        <f t="shared" si="47"/>
        <v>15.169</v>
      </c>
      <c r="I469" s="92"/>
      <c r="J469" s="17"/>
      <c r="K469" s="50" t="s">
        <v>3</v>
      </c>
      <c r="L469" s="389">
        <f t="shared" si="48"/>
        <v>15.169</v>
      </c>
    </row>
    <row r="470" spans="2:12" ht="14.4" x14ac:dyDescent="0.25">
      <c r="B470" s="15" t="s">
        <v>512</v>
      </c>
      <c r="C470" s="11"/>
      <c r="D470" s="16">
        <v>2.4500000000000002</v>
      </c>
      <c r="E470" s="479"/>
      <c r="F470" s="16">
        <v>3.94</v>
      </c>
      <c r="G470" s="478">
        <v>1</v>
      </c>
      <c r="H470" s="389">
        <f t="shared" si="47"/>
        <v>9.6530000000000005</v>
      </c>
      <c r="I470" s="92"/>
      <c r="J470" s="17"/>
      <c r="K470" s="50" t="s">
        <v>3</v>
      </c>
      <c r="L470" s="389">
        <f t="shared" si="48"/>
        <v>9.6530000000000005</v>
      </c>
    </row>
    <row r="471" spans="2:12" ht="14.4" x14ac:dyDescent="0.25">
      <c r="B471" s="15" t="s">
        <v>513</v>
      </c>
      <c r="C471" s="11"/>
      <c r="D471" s="16">
        <v>2.7</v>
      </c>
      <c r="E471" s="479"/>
      <c r="F471" s="16">
        <v>3.94</v>
      </c>
      <c r="G471" s="478">
        <v>1</v>
      </c>
      <c r="H471" s="389">
        <f t="shared" si="47"/>
        <v>10.638</v>
      </c>
      <c r="I471" s="92"/>
      <c r="J471" s="17"/>
      <c r="K471" s="50" t="s">
        <v>3</v>
      </c>
      <c r="L471" s="389">
        <f t="shared" si="48"/>
        <v>10.638</v>
      </c>
    </row>
    <row r="472" spans="2:12" ht="14.4" x14ac:dyDescent="0.25">
      <c r="B472" s="15" t="s">
        <v>515</v>
      </c>
      <c r="C472" s="11"/>
      <c r="D472" s="16">
        <v>1.75</v>
      </c>
      <c r="E472" s="479"/>
      <c r="F472" s="16">
        <v>3.94</v>
      </c>
      <c r="G472" s="478">
        <v>2</v>
      </c>
      <c r="H472" s="389">
        <f t="shared" si="47"/>
        <v>13.79</v>
      </c>
      <c r="I472" s="92"/>
      <c r="J472" s="17"/>
      <c r="K472" s="50" t="s">
        <v>3</v>
      </c>
      <c r="L472" s="389">
        <f t="shared" si="48"/>
        <v>13.79</v>
      </c>
    </row>
    <row r="473" spans="2:12" ht="14.4" x14ac:dyDescent="0.25">
      <c r="B473" s="15" t="s">
        <v>517</v>
      </c>
      <c r="C473" s="11"/>
      <c r="D473" s="16">
        <v>1.66</v>
      </c>
      <c r="E473" s="479"/>
      <c r="F473" s="16">
        <v>3.94</v>
      </c>
      <c r="G473" s="478">
        <v>1</v>
      </c>
      <c r="H473" s="389">
        <f t="shared" si="47"/>
        <v>6.5404</v>
      </c>
      <c r="I473" s="92"/>
      <c r="J473" s="17"/>
      <c r="K473" s="50" t="s">
        <v>3</v>
      </c>
      <c r="L473" s="389">
        <f t="shared" si="48"/>
        <v>6.5404</v>
      </c>
    </row>
    <row r="474" spans="2:12" ht="14.4" x14ac:dyDescent="0.25">
      <c r="B474" s="15" t="s">
        <v>519</v>
      </c>
      <c r="C474" s="11"/>
      <c r="D474" s="16">
        <v>9.84</v>
      </c>
      <c r="E474" s="479"/>
      <c r="F474" s="16">
        <v>3.94</v>
      </c>
      <c r="G474" s="478">
        <v>1</v>
      </c>
      <c r="H474" s="389">
        <f t="shared" si="47"/>
        <v>38.769599999999997</v>
      </c>
      <c r="I474" s="92"/>
      <c r="J474" s="17"/>
      <c r="K474" s="50" t="s">
        <v>3</v>
      </c>
      <c r="L474" s="389">
        <f t="shared" si="48"/>
        <v>38.769599999999997</v>
      </c>
    </row>
    <row r="475" spans="2:12" ht="14.4" x14ac:dyDescent="0.25">
      <c r="B475" s="15" t="s">
        <v>525</v>
      </c>
      <c r="C475" s="11"/>
      <c r="D475" s="16">
        <v>3.85</v>
      </c>
      <c r="E475" s="479"/>
      <c r="F475" s="16">
        <v>3.94</v>
      </c>
      <c r="G475" s="478">
        <v>4</v>
      </c>
      <c r="H475" s="389">
        <f t="shared" si="47"/>
        <v>60.676000000000002</v>
      </c>
      <c r="I475" s="92"/>
      <c r="J475" s="17"/>
      <c r="K475" s="50" t="s">
        <v>3</v>
      </c>
      <c r="L475" s="389">
        <f t="shared" si="48"/>
        <v>60.676000000000002</v>
      </c>
    </row>
    <row r="476" spans="2:12" ht="14.4" x14ac:dyDescent="0.25">
      <c r="B476" s="15" t="s">
        <v>530</v>
      </c>
      <c r="C476" s="11"/>
      <c r="D476" s="16">
        <v>2</v>
      </c>
      <c r="E476" s="479"/>
      <c r="F476" s="16">
        <v>3.94</v>
      </c>
      <c r="G476" s="478">
        <v>1</v>
      </c>
      <c r="H476" s="389">
        <f t="shared" si="47"/>
        <v>7.88</v>
      </c>
      <c r="I476" s="92"/>
      <c r="J476" s="17"/>
      <c r="K476" s="50" t="s">
        <v>3</v>
      </c>
      <c r="L476" s="389">
        <f t="shared" si="48"/>
        <v>7.88</v>
      </c>
    </row>
    <row r="477" spans="2:12" ht="14.4" x14ac:dyDescent="0.25">
      <c r="B477" s="15" t="s">
        <v>531</v>
      </c>
      <c r="C477" s="11"/>
      <c r="D477" s="16">
        <v>1.25</v>
      </c>
      <c r="E477" s="479"/>
      <c r="F477" s="16">
        <v>3.94</v>
      </c>
      <c r="G477" s="478">
        <v>1</v>
      </c>
      <c r="H477" s="389">
        <f t="shared" si="47"/>
        <v>4.9249999999999998</v>
      </c>
      <c r="I477" s="92"/>
      <c r="J477" s="17"/>
      <c r="K477" s="50" t="s">
        <v>3</v>
      </c>
      <c r="L477" s="389">
        <f t="shared" si="48"/>
        <v>4.9249999999999998</v>
      </c>
    </row>
    <row r="478" spans="2:12" ht="14.4" x14ac:dyDescent="0.25">
      <c r="B478" s="15" t="s">
        <v>532</v>
      </c>
      <c r="C478" s="11"/>
      <c r="D478" s="16">
        <v>3.62</v>
      </c>
      <c r="E478" s="479"/>
      <c r="F478" s="16">
        <v>3.94</v>
      </c>
      <c r="G478" s="478">
        <v>1</v>
      </c>
      <c r="H478" s="389">
        <f t="shared" si="47"/>
        <v>14.2628</v>
      </c>
      <c r="I478" s="92"/>
      <c r="J478" s="17"/>
      <c r="K478" s="50" t="s">
        <v>3</v>
      </c>
      <c r="L478" s="389">
        <f t="shared" si="48"/>
        <v>14.2628</v>
      </c>
    </row>
    <row r="479" spans="2:12" ht="14.4" x14ac:dyDescent="0.25">
      <c r="B479" s="15" t="s">
        <v>534</v>
      </c>
      <c r="C479" s="11"/>
      <c r="D479" s="16">
        <v>2.85</v>
      </c>
      <c r="E479" s="479"/>
      <c r="F479" s="16">
        <v>3.94</v>
      </c>
      <c r="G479" s="478">
        <v>11</v>
      </c>
      <c r="H479" s="389">
        <f t="shared" si="47"/>
        <v>123.51900000000001</v>
      </c>
      <c r="I479" s="92"/>
      <c r="J479" s="17"/>
      <c r="K479" s="50" t="s">
        <v>3</v>
      </c>
      <c r="L479" s="389">
        <f t="shared" si="48"/>
        <v>123.51900000000001</v>
      </c>
    </row>
    <row r="480" spans="2:12" ht="14.4" x14ac:dyDescent="0.25">
      <c r="B480" s="15" t="s">
        <v>535</v>
      </c>
      <c r="C480" s="11"/>
      <c r="D480" s="16">
        <v>1.65</v>
      </c>
      <c r="E480" s="479"/>
      <c r="F480" s="16">
        <v>3.94</v>
      </c>
      <c r="G480" s="478">
        <v>10</v>
      </c>
      <c r="H480" s="389">
        <f t="shared" si="47"/>
        <v>65.009999999999991</v>
      </c>
      <c r="I480" s="92"/>
      <c r="J480" s="17"/>
      <c r="K480" s="50" t="s">
        <v>3</v>
      </c>
      <c r="L480" s="389">
        <f t="shared" si="48"/>
        <v>65.009999999999991</v>
      </c>
    </row>
    <row r="481" spans="2:12" ht="14.4" x14ac:dyDescent="0.25">
      <c r="B481" s="15" t="s">
        <v>537</v>
      </c>
      <c r="C481" s="11"/>
      <c r="D481" s="16">
        <v>2.35</v>
      </c>
      <c r="E481" s="479"/>
      <c r="F481" s="16">
        <v>3.94</v>
      </c>
      <c r="G481" s="478">
        <v>2</v>
      </c>
      <c r="H481" s="389">
        <f t="shared" si="47"/>
        <v>18.518000000000001</v>
      </c>
      <c r="I481" s="92"/>
      <c r="J481" s="17"/>
      <c r="K481" s="50" t="s">
        <v>3</v>
      </c>
      <c r="L481" s="389">
        <f t="shared" si="48"/>
        <v>18.518000000000001</v>
      </c>
    </row>
    <row r="482" spans="2:12" ht="14.4" x14ac:dyDescent="0.25">
      <c r="B482" s="15" t="s">
        <v>538</v>
      </c>
      <c r="C482" s="11"/>
      <c r="D482" s="16">
        <v>1.65</v>
      </c>
      <c r="E482" s="479"/>
      <c r="F482" s="16">
        <v>3.94</v>
      </c>
      <c r="G482" s="478">
        <v>2</v>
      </c>
      <c r="H482" s="389">
        <f t="shared" si="47"/>
        <v>13.001999999999999</v>
      </c>
      <c r="I482" s="92"/>
      <c r="J482" s="17"/>
      <c r="K482" s="50" t="s">
        <v>3</v>
      </c>
      <c r="L482" s="389">
        <f t="shared" si="48"/>
        <v>13.001999999999999</v>
      </c>
    </row>
    <row r="483" spans="2:12" ht="14.4" x14ac:dyDescent="0.25">
      <c r="B483" s="21" t="s">
        <v>563</v>
      </c>
      <c r="C483" s="12"/>
      <c r="D483" s="35">
        <f>SUM(D455:D482)</f>
        <v>85.600000000000009</v>
      </c>
      <c r="E483" s="18"/>
      <c r="F483" s="10"/>
      <c r="G483" s="22"/>
      <c r="H483" s="19"/>
      <c r="I483" s="19"/>
      <c r="J483" s="19"/>
      <c r="K483" s="23" t="s">
        <v>3</v>
      </c>
      <c r="L483" s="13">
        <f>SUM(L455:L482)</f>
        <v>603.98759999999993</v>
      </c>
    </row>
    <row r="484" spans="2:12" ht="14.4" x14ac:dyDescent="0.25">
      <c r="B484" s="822" t="s">
        <v>1</v>
      </c>
      <c r="C484" s="55" t="s">
        <v>0</v>
      </c>
      <c r="D484" s="52" t="s">
        <v>12</v>
      </c>
      <c r="E484" s="52" t="s">
        <v>4</v>
      </c>
      <c r="F484" s="52" t="s">
        <v>2</v>
      </c>
      <c r="G484" s="52" t="s">
        <v>6</v>
      </c>
      <c r="H484" s="148" t="s">
        <v>5</v>
      </c>
      <c r="I484" s="56" t="s">
        <v>13</v>
      </c>
      <c r="J484" s="148" t="s">
        <v>14</v>
      </c>
      <c r="K484" s="822" t="s">
        <v>7</v>
      </c>
      <c r="L484" s="824" t="s">
        <v>8</v>
      </c>
    </row>
    <row r="485" spans="2:12" ht="14.4" x14ac:dyDescent="0.3">
      <c r="B485" s="823"/>
      <c r="C485" s="80" t="s">
        <v>9</v>
      </c>
      <c r="D485" s="81" t="s">
        <v>10</v>
      </c>
      <c r="E485" s="81" t="s">
        <v>10</v>
      </c>
      <c r="F485" s="81" t="s">
        <v>10</v>
      </c>
      <c r="G485" s="80" t="s">
        <v>9</v>
      </c>
      <c r="H485" s="82" t="s">
        <v>11</v>
      </c>
      <c r="I485" s="113" t="s">
        <v>11</v>
      </c>
      <c r="J485" s="82" t="s">
        <v>15</v>
      </c>
      <c r="K485" s="823"/>
      <c r="L485" s="825"/>
    </row>
    <row r="486" spans="2:12" ht="14.4" x14ac:dyDescent="0.3">
      <c r="B486" s="20" t="s">
        <v>698</v>
      </c>
      <c r="C486" s="381"/>
      <c r="D486" s="382"/>
      <c r="E486" s="382"/>
      <c r="F486" s="382"/>
      <c r="G486" s="381"/>
      <c r="H486" s="383"/>
      <c r="I486" s="384"/>
      <c r="J486" s="383"/>
      <c r="K486" s="383"/>
      <c r="L486" s="7"/>
    </row>
    <row r="487" spans="2:12" ht="14.4" x14ac:dyDescent="0.25">
      <c r="B487" s="217" t="s">
        <v>482</v>
      </c>
      <c r="C487" s="398"/>
      <c r="D487" s="389">
        <v>4.4800000000000004</v>
      </c>
      <c r="E487" s="389"/>
      <c r="F487" s="389">
        <v>1</v>
      </c>
      <c r="G487" s="390">
        <v>1</v>
      </c>
      <c r="H487" s="389">
        <f t="shared" ref="H487:H493" si="49">D487*F487*G487-I487</f>
        <v>4.4800000000000004</v>
      </c>
      <c r="I487" s="481"/>
      <c r="J487" s="399"/>
      <c r="K487" s="399" t="s">
        <v>3</v>
      </c>
      <c r="L487" s="483">
        <f t="shared" ref="L487:L493" si="50">H487</f>
        <v>4.4800000000000004</v>
      </c>
    </row>
    <row r="488" spans="2:12" ht="14.4" x14ac:dyDescent="0.25">
      <c r="B488" s="217" t="s">
        <v>483</v>
      </c>
      <c r="C488" s="398"/>
      <c r="D488" s="389">
        <v>0.45</v>
      </c>
      <c r="E488" s="389"/>
      <c r="F488" s="389">
        <v>1</v>
      </c>
      <c r="G488" s="390">
        <v>1</v>
      </c>
      <c r="H488" s="389">
        <f t="shared" si="49"/>
        <v>0.45</v>
      </c>
      <c r="I488" s="481"/>
      <c r="J488" s="399"/>
      <c r="K488" s="399" t="s">
        <v>3</v>
      </c>
      <c r="L488" s="483">
        <f t="shared" si="50"/>
        <v>0.45</v>
      </c>
    </row>
    <row r="489" spans="2:12" ht="14.4" x14ac:dyDescent="0.25">
      <c r="B489" s="217" t="s">
        <v>484</v>
      </c>
      <c r="C489" s="398"/>
      <c r="D489" s="389">
        <v>1.38</v>
      </c>
      <c r="E489" s="389"/>
      <c r="F489" s="389">
        <v>1</v>
      </c>
      <c r="G489" s="390">
        <v>1</v>
      </c>
      <c r="H489" s="389">
        <f t="shared" si="49"/>
        <v>1.38</v>
      </c>
      <c r="I489" s="481"/>
      <c r="J489" s="399"/>
      <c r="K489" s="399" t="s">
        <v>3</v>
      </c>
      <c r="L489" s="483">
        <f t="shared" si="50"/>
        <v>1.38</v>
      </c>
    </row>
    <row r="490" spans="2:12" ht="14.4" x14ac:dyDescent="0.25">
      <c r="B490" s="217" t="s">
        <v>545</v>
      </c>
      <c r="C490" s="398"/>
      <c r="D490" s="389">
        <v>1.8</v>
      </c>
      <c r="E490" s="389"/>
      <c r="F490" s="389">
        <v>3.94</v>
      </c>
      <c r="G490" s="390">
        <v>1</v>
      </c>
      <c r="H490" s="389">
        <f t="shared" si="49"/>
        <v>7.0919999999999996</v>
      </c>
      <c r="I490" s="481"/>
      <c r="J490" s="399"/>
      <c r="K490" s="399" t="s">
        <v>3</v>
      </c>
      <c r="L490" s="483">
        <f t="shared" si="50"/>
        <v>7.0919999999999996</v>
      </c>
    </row>
    <row r="491" spans="2:12" ht="14.4" x14ac:dyDescent="0.25">
      <c r="B491" s="217" t="s">
        <v>546</v>
      </c>
      <c r="C491" s="398"/>
      <c r="D491" s="389">
        <v>3.3</v>
      </c>
      <c r="E491" s="389"/>
      <c r="F491" s="389">
        <v>3.94</v>
      </c>
      <c r="G491" s="390">
        <v>1</v>
      </c>
      <c r="H491" s="389">
        <f t="shared" si="49"/>
        <v>13.001999999999999</v>
      </c>
      <c r="I491" s="481"/>
      <c r="J491" s="399"/>
      <c r="K491" s="399" t="s">
        <v>3</v>
      </c>
      <c r="L491" s="483">
        <f t="shared" si="50"/>
        <v>13.001999999999999</v>
      </c>
    </row>
    <row r="492" spans="2:12" ht="14.4" x14ac:dyDescent="0.25">
      <c r="B492" s="217" t="s">
        <v>547</v>
      </c>
      <c r="C492" s="398"/>
      <c r="D492" s="389">
        <v>3.65</v>
      </c>
      <c r="E492" s="389"/>
      <c r="F492" s="389">
        <v>3.94</v>
      </c>
      <c r="G492" s="390">
        <v>1</v>
      </c>
      <c r="H492" s="389">
        <f t="shared" si="49"/>
        <v>14.381</v>
      </c>
      <c r="I492" s="481"/>
      <c r="J492" s="399"/>
      <c r="K492" s="399" t="s">
        <v>3</v>
      </c>
      <c r="L492" s="483">
        <f t="shared" si="50"/>
        <v>14.381</v>
      </c>
    </row>
    <row r="493" spans="2:12" ht="14.4" x14ac:dyDescent="0.25">
      <c r="B493" s="217" t="s">
        <v>548</v>
      </c>
      <c r="C493" s="398"/>
      <c r="D493" s="389">
        <v>3.5</v>
      </c>
      <c r="E493" s="389"/>
      <c r="F493" s="389">
        <v>3.94</v>
      </c>
      <c r="G493" s="390">
        <v>1</v>
      </c>
      <c r="H493" s="389">
        <f t="shared" si="49"/>
        <v>13.79</v>
      </c>
      <c r="I493" s="481"/>
      <c r="J493" s="399"/>
      <c r="K493" s="399" t="s">
        <v>3</v>
      </c>
      <c r="L493" s="483">
        <f t="shared" si="50"/>
        <v>13.79</v>
      </c>
    </row>
    <row r="494" spans="2:12" ht="14.4" x14ac:dyDescent="0.25">
      <c r="B494" s="21" t="s">
        <v>563</v>
      </c>
      <c r="C494" s="12"/>
      <c r="D494" s="35">
        <f>SUM(D487:D493)</f>
        <v>18.560000000000002</v>
      </c>
      <c r="E494" s="459"/>
      <c r="F494" s="10"/>
      <c r="G494" s="22"/>
      <c r="H494" s="19"/>
      <c r="I494" s="19"/>
      <c r="J494" s="19"/>
      <c r="K494" s="23" t="s">
        <v>3</v>
      </c>
      <c r="L494" s="13">
        <f>SUM(L487:L493)</f>
        <v>54.574999999999996</v>
      </c>
    </row>
    <row r="495" spans="2:12" ht="14.4" x14ac:dyDescent="0.3">
      <c r="B495" s="24" t="s">
        <v>702</v>
      </c>
      <c r="C495" s="114"/>
      <c r="D495" s="115"/>
      <c r="E495" s="115"/>
      <c r="F495" s="115"/>
      <c r="G495" s="114"/>
      <c r="H495" s="116"/>
      <c r="I495" s="117"/>
      <c r="J495" s="116"/>
      <c r="K495" s="116"/>
      <c r="L495" s="118"/>
    </row>
    <row r="496" spans="2:12" ht="14.4" x14ac:dyDescent="0.25">
      <c r="B496" s="217" t="s">
        <v>550</v>
      </c>
      <c r="C496" s="398"/>
      <c r="D496" s="389">
        <v>3.79</v>
      </c>
      <c r="E496" s="389"/>
      <c r="F496" s="389">
        <v>3.4</v>
      </c>
      <c r="G496" s="390">
        <v>1</v>
      </c>
      <c r="H496" s="389">
        <f t="shared" ref="H496:H500" si="51">D496*F496*G496-I496</f>
        <v>12.885999999999999</v>
      </c>
      <c r="I496" s="481"/>
      <c r="J496" s="399"/>
      <c r="K496" s="399" t="s">
        <v>3</v>
      </c>
      <c r="L496" s="483">
        <f t="shared" ref="L496:L500" si="52">H496</f>
        <v>12.885999999999999</v>
      </c>
    </row>
    <row r="497" spans="2:12" ht="14.4" x14ac:dyDescent="0.25">
      <c r="B497" s="217" t="s">
        <v>551</v>
      </c>
      <c r="C497" s="398"/>
      <c r="D497" s="389">
        <v>2.78</v>
      </c>
      <c r="E497" s="389"/>
      <c r="F497" s="389">
        <v>3.4</v>
      </c>
      <c r="G497" s="390">
        <v>1</v>
      </c>
      <c r="H497" s="389">
        <f t="shared" si="51"/>
        <v>9.452</v>
      </c>
      <c r="I497" s="481"/>
      <c r="J497" s="399"/>
      <c r="K497" s="399" t="s">
        <v>3</v>
      </c>
      <c r="L497" s="483">
        <f t="shared" si="52"/>
        <v>9.452</v>
      </c>
    </row>
    <row r="498" spans="2:12" ht="14.4" x14ac:dyDescent="0.25">
      <c r="B498" s="217" t="s">
        <v>555</v>
      </c>
      <c r="C498" s="398"/>
      <c r="D498" s="389">
        <v>2.2799999999999998</v>
      </c>
      <c r="E498" s="389"/>
      <c r="F498" s="389">
        <v>3.45</v>
      </c>
      <c r="G498" s="390">
        <v>1</v>
      </c>
      <c r="H498" s="389">
        <f t="shared" si="51"/>
        <v>7.8659999999999997</v>
      </c>
      <c r="I498" s="481"/>
      <c r="J498" s="399"/>
      <c r="K498" s="399" t="s">
        <v>3</v>
      </c>
      <c r="L498" s="483">
        <f t="shared" si="52"/>
        <v>7.8659999999999997</v>
      </c>
    </row>
    <row r="499" spans="2:12" ht="14.4" x14ac:dyDescent="0.25">
      <c r="B499" s="217" t="s">
        <v>556</v>
      </c>
      <c r="C499" s="398"/>
      <c r="D499" s="389">
        <v>2.89</v>
      </c>
      <c r="E499" s="389"/>
      <c r="F499" s="389">
        <v>3.45</v>
      </c>
      <c r="G499" s="390">
        <v>1</v>
      </c>
      <c r="H499" s="389">
        <f t="shared" si="51"/>
        <v>9.9705000000000013</v>
      </c>
      <c r="I499" s="481"/>
      <c r="J499" s="399"/>
      <c r="K499" s="399" t="s">
        <v>3</v>
      </c>
      <c r="L499" s="483">
        <f t="shared" si="52"/>
        <v>9.9705000000000013</v>
      </c>
    </row>
    <row r="500" spans="2:12" ht="14.4" x14ac:dyDescent="0.25">
      <c r="B500" s="199" t="s">
        <v>562</v>
      </c>
      <c r="C500" s="398"/>
      <c r="D500" s="389">
        <v>2.75</v>
      </c>
      <c r="E500" s="389"/>
      <c r="F500" s="389">
        <v>3.4</v>
      </c>
      <c r="G500" s="390">
        <v>1</v>
      </c>
      <c r="H500" s="389">
        <f t="shared" si="51"/>
        <v>9.35</v>
      </c>
      <c r="I500" s="481"/>
      <c r="J500" s="399"/>
      <c r="K500" s="399" t="s">
        <v>3</v>
      </c>
      <c r="L500" s="483">
        <f t="shared" si="52"/>
        <v>9.35</v>
      </c>
    </row>
    <row r="501" spans="2:12" ht="14.4" x14ac:dyDescent="0.25">
      <c r="B501" s="21" t="s">
        <v>684</v>
      </c>
      <c r="C501" s="12"/>
      <c r="D501" s="35">
        <f>SUM(D496:D500)</f>
        <v>14.49</v>
      </c>
      <c r="E501" s="459"/>
      <c r="F501" s="10"/>
      <c r="G501" s="22"/>
      <c r="H501" s="19"/>
      <c r="I501" s="19"/>
      <c r="J501" s="19"/>
      <c r="K501" s="23" t="s">
        <v>3</v>
      </c>
      <c r="L501" s="13">
        <f>SUM(L496:L500)</f>
        <v>49.524500000000003</v>
      </c>
    </row>
    <row r="502" spans="2:12" ht="14.4" x14ac:dyDescent="0.3">
      <c r="B502" s="24" t="s">
        <v>700</v>
      </c>
      <c r="C502" s="114"/>
      <c r="D502" s="115"/>
      <c r="E502" s="115"/>
      <c r="F502" s="115"/>
      <c r="G502" s="114"/>
      <c r="H502" s="116"/>
      <c r="I502" s="117"/>
      <c r="J502" s="116"/>
      <c r="K502" s="116"/>
      <c r="L502" s="118"/>
    </row>
    <row r="503" spans="2:12" ht="14.4" x14ac:dyDescent="0.25">
      <c r="B503" s="217" t="s">
        <v>498</v>
      </c>
      <c r="C503" s="398"/>
      <c r="D503" s="389">
        <v>1.8</v>
      </c>
      <c r="E503" s="389"/>
      <c r="F503" s="389">
        <v>3.94</v>
      </c>
      <c r="G503" s="390">
        <v>1</v>
      </c>
      <c r="H503" s="389">
        <f t="shared" ref="H503:H514" si="53">D503*F503*G503-I503</f>
        <v>7.0919999999999996</v>
      </c>
      <c r="I503" s="481"/>
      <c r="J503" s="399"/>
      <c r="K503" s="399" t="s">
        <v>3</v>
      </c>
      <c r="L503" s="483">
        <f t="shared" ref="L503:L514" si="54">H503</f>
        <v>7.0919999999999996</v>
      </c>
    </row>
    <row r="504" spans="2:12" ht="14.4" x14ac:dyDescent="0.25">
      <c r="B504" s="217" t="s">
        <v>509</v>
      </c>
      <c r="C504" s="398"/>
      <c r="D504" s="389">
        <v>1.84</v>
      </c>
      <c r="E504" s="389"/>
      <c r="F504" s="389">
        <v>3.94</v>
      </c>
      <c r="G504" s="390">
        <v>1</v>
      </c>
      <c r="H504" s="389">
        <f t="shared" ref="H504:H505" si="55">D504*F504*G504-I504</f>
        <v>7.2496</v>
      </c>
      <c r="I504" s="481"/>
      <c r="J504" s="399"/>
      <c r="K504" s="399" t="s">
        <v>3</v>
      </c>
      <c r="L504" s="483">
        <f t="shared" ref="L504:L505" si="56">H504</f>
        <v>7.2496</v>
      </c>
    </row>
    <row r="505" spans="2:12" ht="14.4" x14ac:dyDescent="0.25">
      <c r="B505" s="217" t="s">
        <v>510</v>
      </c>
      <c r="C505" s="398"/>
      <c r="D505" s="389">
        <v>2.0499999999999998</v>
      </c>
      <c r="E505" s="389"/>
      <c r="F505" s="389">
        <v>3.94</v>
      </c>
      <c r="G505" s="390">
        <v>1</v>
      </c>
      <c r="H505" s="389">
        <f t="shared" si="55"/>
        <v>8.077</v>
      </c>
      <c r="I505" s="481"/>
      <c r="J505" s="399"/>
      <c r="K505" s="399" t="s">
        <v>3</v>
      </c>
      <c r="L505" s="483">
        <f t="shared" si="56"/>
        <v>8.077</v>
      </c>
    </row>
    <row r="506" spans="2:12" ht="14.4" x14ac:dyDescent="0.25">
      <c r="B506" s="217" t="s">
        <v>536</v>
      </c>
      <c r="C506" s="398"/>
      <c r="D506" s="389">
        <v>2.7</v>
      </c>
      <c r="E506" s="389"/>
      <c r="F506" s="389">
        <v>3.94</v>
      </c>
      <c r="G506" s="390">
        <v>4</v>
      </c>
      <c r="H506" s="389">
        <f t="shared" si="53"/>
        <v>42.552</v>
      </c>
      <c r="I506" s="481"/>
      <c r="J506" s="399"/>
      <c r="K506" s="399" t="s">
        <v>3</v>
      </c>
      <c r="L506" s="483">
        <f t="shared" si="54"/>
        <v>42.552</v>
      </c>
    </row>
    <row r="507" spans="2:12" ht="14.4" x14ac:dyDescent="0.25">
      <c r="B507" s="217" t="s">
        <v>552</v>
      </c>
      <c r="C507" s="398"/>
      <c r="D507" s="389">
        <v>2.5299999999999998</v>
      </c>
      <c r="E507" s="389"/>
      <c r="F507" s="389">
        <v>3.45</v>
      </c>
      <c r="G507" s="390">
        <v>1</v>
      </c>
      <c r="H507" s="389">
        <f t="shared" si="53"/>
        <v>8.7285000000000004</v>
      </c>
      <c r="I507" s="481"/>
      <c r="J507" s="399"/>
      <c r="K507" s="399" t="s">
        <v>3</v>
      </c>
      <c r="L507" s="483">
        <f t="shared" si="54"/>
        <v>8.7285000000000004</v>
      </c>
    </row>
    <row r="508" spans="2:12" ht="14.4" x14ac:dyDescent="0.25">
      <c r="B508" s="217" t="s">
        <v>553</v>
      </c>
      <c r="C508" s="398"/>
      <c r="D508" s="389">
        <v>2.96</v>
      </c>
      <c r="E508" s="389"/>
      <c r="F508" s="389">
        <v>3.45</v>
      </c>
      <c r="G508" s="390">
        <v>1</v>
      </c>
      <c r="H508" s="389">
        <f t="shared" si="53"/>
        <v>10.212</v>
      </c>
      <c r="I508" s="481"/>
      <c r="J508" s="399"/>
      <c r="K508" s="399" t="s">
        <v>3</v>
      </c>
      <c r="L508" s="483">
        <f t="shared" si="54"/>
        <v>10.212</v>
      </c>
    </row>
    <row r="509" spans="2:12" ht="14.4" x14ac:dyDescent="0.25">
      <c r="B509" s="217" t="s">
        <v>554</v>
      </c>
      <c r="C509" s="398"/>
      <c r="D509" s="389">
        <v>1.89</v>
      </c>
      <c r="E509" s="389"/>
      <c r="F509" s="389">
        <v>3.45</v>
      </c>
      <c r="G509" s="390">
        <v>1</v>
      </c>
      <c r="H509" s="389">
        <f t="shared" si="53"/>
        <v>6.5205000000000002</v>
      </c>
      <c r="I509" s="481"/>
      <c r="J509" s="399"/>
      <c r="K509" s="399" t="s">
        <v>3</v>
      </c>
      <c r="L509" s="483">
        <f t="shared" si="54"/>
        <v>6.5205000000000002</v>
      </c>
    </row>
    <row r="510" spans="2:12" ht="14.4" x14ac:dyDescent="0.25">
      <c r="B510" s="217" t="s">
        <v>557</v>
      </c>
      <c r="C510" s="398"/>
      <c r="D510" s="389">
        <v>8.1300000000000008</v>
      </c>
      <c r="E510" s="389"/>
      <c r="F510" s="389">
        <v>3.45</v>
      </c>
      <c r="G510" s="390">
        <v>1</v>
      </c>
      <c r="H510" s="389">
        <f t="shared" si="53"/>
        <v>28.048500000000004</v>
      </c>
      <c r="I510" s="481"/>
      <c r="J510" s="399"/>
      <c r="K510" s="399" t="s">
        <v>3</v>
      </c>
      <c r="L510" s="483">
        <f t="shared" si="54"/>
        <v>28.048500000000004</v>
      </c>
    </row>
    <row r="511" spans="2:12" ht="14.4" x14ac:dyDescent="0.25">
      <c r="B511" s="217" t="s">
        <v>558</v>
      </c>
      <c r="C511" s="398"/>
      <c r="D511" s="389">
        <v>5.3</v>
      </c>
      <c r="E511" s="389"/>
      <c r="F511" s="389">
        <v>3.4</v>
      </c>
      <c r="G511" s="390">
        <v>1</v>
      </c>
      <c r="H511" s="389">
        <f t="shared" si="53"/>
        <v>18.02</v>
      </c>
      <c r="I511" s="481"/>
      <c r="J511" s="399"/>
      <c r="K511" s="399" t="s">
        <v>3</v>
      </c>
      <c r="L511" s="483">
        <f t="shared" si="54"/>
        <v>18.02</v>
      </c>
    </row>
    <row r="512" spans="2:12" ht="14.4" x14ac:dyDescent="0.25">
      <c r="B512" s="217" t="s">
        <v>559</v>
      </c>
      <c r="C512" s="398"/>
      <c r="D512" s="389">
        <v>2.74</v>
      </c>
      <c r="E512" s="389"/>
      <c r="F512" s="389">
        <v>3.4</v>
      </c>
      <c r="G512" s="390">
        <v>1</v>
      </c>
      <c r="H512" s="389">
        <f t="shared" si="53"/>
        <v>9.3160000000000007</v>
      </c>
      <c r="I512" s="481"/>
      <c r="J512" s="399"/>
      <c r="K512" s="399" t="s">
        <v>3</v>
      </c>
      <c r="L512" s="483">
        <f t="shared" si="54"/>
        <v>9.3160000000000007</v>
      </c>
    </row>
    <row r="513" spans="2:12" ht="14.4" x14ac:dyDescent="0.25">
      <c r="B513" s="217" t="s">
        <v>560</v>
      </c>
      <c r="C513" s="398"/>
      <c r="D513" s="389">
        <v>4.7300000000000004</v>
      </c>
      <c r="E513" s="389"/>
      <c r="F513" s="389">
        <v>3.4</v>
      </c>
      <c r="G513" s="390">
        <v>1</v>
      </c>
      <c r="H513" s="389">
        <f t="shared" si="53"/>
        <v>16.082000000000001</v>
      </c>
      <c r="I513" s="481"/>
      <c r="J513" s="399"/>
      <c r="K513" s="399" t="s">
        <v>3</v>
      </c>
      <c r="L513" s="483">
        <f t="shared" si="54"/>
        <v>16.082000000000001</v>
      </c>
    </row>
    <row r="514" spans="2:12" ht="14.4" x14ac:dyDescent="0.25">
      <c r="B514" s="217" t="s">
        <v>561</v>
      </c>
      <c r="C514" s="398"/>
      <c r="D514" s="389">
        <v>1.96</v>
      </c>
      <c r="E514" s="389"/>
      <c r="F514" s="389">
        <v>3.4</v>
      </c>
      <c r="G514" s="390">
        <v>1</v>
      </c>
      <c r="H514" s="389">
        <f t="shared" si="53"/>
        <v>6.6639999999999997</v>
      </c>
      <c r="I514" s="481"/>
      <c r="J514" s="399"/>
      <c r="K514" s="399" t="s">
        <v>3</v>
      </c>
      <c r="L514" s="483">
        <f t="shared" si="54"/>
        <v>6.6639999999999997</v>
      </c>
    </row>
    <row r="515" spans="2:12" ht="14.4" x14ac:dyDescent="0.25">
      <c r="B515" s="21" t="s">
        <v>564</v>
      </c>
      <c r="C515" s="12"/>
      <c r="D515" s="35">
        <f>SUM(D503:D514)</f>
        <v>38.630000000000003</v>
      </c>
      <c r="E515" s="459"/>
      <c r="F515" s="10"/>
      <c r="G515" s="22"/>
      <c r="H515" s="19"/>
      <c r="I515" s="19"/>
      <c r="J515" s="19"/>
      <c r="K515" s="23" t="s">
        <v>3</v>
      </c>
      <c r="L515" s="13">
        <f>SUM(L503:L514)</f>
        <v>168.56209999999999</v>
      </c>
    </row>
    <row r="516" spans="2:12" ht="15.6" x14ac:dyDescent="0.25">
      <c r="B516" s="545" t="s">
        <v>645</v>
      </c>
      <c r="C516" s="546"/>
      <c r="D516" s="547"/>
      <c r="E516" s="547"/>
      <c r="F516" s="547"/>
      <c r="G516" s="546"/>
      <c r="H516" s="548"/>
      <c r="I516" s="549"/>
      <c r="J516" s="548"/>
      <c r="K516" s="548"/>
      <c r="L516" s="550"/>
    </row>
    <row r="517" spans="2:12" ht="15.6" x14ac:dyDescent="0.25">
      <c r="B517" s="59" t="s">
        <v>60</v>
      </c>
      <c r="C517" s="119"/>
      <c r="D517" s="120"/>
      <c r="E517" s="119"/>
      <c r="F517" s="121"/>
      <c r="G517" s="122"/>
      <c r="H517" s="123"/>
      <c r="I517" s="123"/>
      <c r="J517" s="123"/>
      <c r="K517" s="124"/>
      <c r="L517" s="125"/>
    </row>
    <row r="518" spans="2:12" ht="14.4" x14ac:dyDescent="0.25">
      <c r="B518" s="822" t="s">
        <v>1</v>
      </c>
      <c r="C518" s="55" t="s">
        <v>0</v>
      </c>
      <c r="D518" s="52" t="s">
        <v>12</v>
      </c>
      <c r="E518" s="52" t="s">
        <v>4</v>
      </c>
      <c r="F518" s="52" t="s">
        <v>2</v>
      </c>
      <c r="G518" s="52" t="s">
        <v>6</v>
      </c>
      <c r="H518" s="148" t="s">
        <v>5</v>
      </c>
      <c r="I518" s="56" t="s">
        <v>13</v>
      </c>
      <c r="J518" s="148" t="s">
        <v>14</v>
      </c>
      <c r="K518" s="822" t="s">
        <v>7</v>
      </c>
      <c r="L518" s="824" t="s">
        <v>8</v>
      </c>
    </row>
    <row r="519" spans="2:12" ht="14.4" x14ac:dyDescent="0.3">
      <c r="B519" s="823"/>
      <c r="C519" s="80" t="s">
        <v>9</v>
      </c>
      <c r="D519" s="81" t="s">
        <v>10</v>
      </c>
      <c r="E519" s="81" t="s">
        <v>10</v>
      </c>
      <c r="F519" s="81" t="s">
        <v>10</v>
      </c>
      <c r="G519" s="80" t="s">
        <v>9</v>
      </c>
      <c r="H519" s="82" t="s">
        <v>11</v>
      </c>
      <c r="I519" s="113" t="s">
        <v>11</v>
      </c>
      <c r="J519" s="82" t="s">
        <v>15</v>
      </c>
      <c r="K519" s="823"/>
      <c r="L519" s="825"/>
    </row>
    <row r="520" spans="2:12" ht="14.4" x14ac:dyDescent="0.3">
      <c r="B520" s="20" t="s">
        <v>698</v>
      </c>
      <c r="C520" s="381"/>
      <c r="D520" s="382"/>
      <c r="E520" s="382"/>
      <c r="F520" s="382"/>
      <c r="G520" s="381"/>
      <c r="H520" s="383"/>
      <c r="I520" s="384"/>
      <c r="J520" s="383"/>
      <c r="K520" s="383"/>
      <c r="L520" s="7"/>
    </row>
    <row r="521" spans="2:12" ht="14.4" x14ac:dyDescent="0.25">
      <c r="B521" s="217" t="s">
        <v>477</v>
      </c>
      <c r="C521" s="398"/>
      <c r="D521" s="483">
        <v>3.65</v>
      </c>
      <c r="E521" s="389"/>
      <c r="F521" s="389">
        <v>3.94</v>
      </c>
      <c r="G521" s="390">
        <v>1</v>
      </c>
      <c r="H521" s="389">
        <f t="shared" ref="H521:H529" si="57">D521*F521*G521-I521</f>
        <v>14.381</v>
      </c>
      <c r="I521" s="481"/>
      <c r="J521" s="399"/>
      <c r="K521" s="399" t="s">
        <v>3</v>
      </c>
      <c r="L521" s="483">
        <f t="shared" ref="L521:L529" si="58">H521</f>
        <v>14.381</v>
      </c>
    </row>
    <row r="522" spans="2:12" ht="14.4" x14ac:dyDescent="0.25">
      <c r="B522" s="217" t="s">
        <v>478</v>
      </c>
      <c r="C522" s="398"/>
      <c r="D522" s="483">
        <v>2.15</v>
      </c>
      <c r="E522" s="389"/>
      <c r="F522" s="389">
        <v>3.94</v>
      </c>
      <c r="G522" s="390">
        <v>1</v>
      </c>
      <c r="H522" s="389">
        <f t="shared" si="57"/>
        <v>8.4710000000000001</v>
      </c>
      <c r="I522" s="481"/>
      <c r="J522" s="399"/>
      <c r="K522" s="399" t="s">
        <v>3</v>
      </c>
      <c r="L522" s="483">
        <f t="shared" si="58"/>
        <v>8.4710000000000001</v>
      </c>
    </row>
    <row r="523" spans="2:12" ht="14.4" x14ac:dyDescent="0.25">
      <c r="B523" s="217" t="s">
        <v>479</v>
      </c>
      <c r="C523" s="398"/>
      <c r="D523" s="483">
        <v>9</v>
      </c>
      <c r="E523" s="389"/>
      <c r="F523" s="389">
        <v>3.06</v>
      </c>
      <c r="G523" s="390">
        <v>1</v>
      </c>
      <c r="H523" s="389">
        <f t="shared" si="57"/>
        <v>27.54</v>
      </c>
      <c r="I523" s="481"/>
      <c r="J523" s="399"/>
      <c r="K523" s="399" t="s">
        <v>3</v>
      </c>
      <c r="L523" s="483">
        <f t="shared" si="58"/>
        <v>27.54</v>
      </c>
    </row>
    <row r="524" spans="2:12" ht="14.4" x14ac:dyDescent="0.25">
      <c r="B524" s="217" t="s">
        <v>480</v>
      </c>
      <c r="C524" s="398"/>
      <c r="D524" s="483">
        <v>4.84</v>
      </c>
      <c r="E524" s="389"/>
      <c r="F524" s="389">
        <v>3.06</v>
      </c>
      <c r="G524" s="390">
        <v>1</v>
      </c>
      <c r="H524" s="389">
        <f t="shared" si="57"/>
        <v>14.8104</v>
      </c>
      <c r="I524" s="481"/>
      <c r="J524" s="399"/>
      <c r="K524" s="399" t="s">
        <v>3</v>
      </c>
      <c r="L524" s="483">
        <f t="shared" si="58"/>
        <v>14.8104</v>
      </c>
    </row>
    <row r="525" spans="2:12" ht="14.4" x14ac:dyDescent="0.25">
      <c r="B525" s="217" t="s">
        <v>481</v>
      </c>
      <c r="C525" s="398"/>
      <c r="D525" s="483">
        <v>7.71</v>
      </c>
      <c r="E525" s="389"/>
      <c r="F525" s="389">
        <v>3.06</v>
      </c>
      <c r="G525" s="390">
        <v>2</v>
      </c>
      <c r="H525" s="389">
        <f t="shared" si="57"/>
        <v>47.185200000000002</v>
      </c>
      <c r="I525" s="481"/>
      <c r="J525" s="399"/>
      <c r="K525" s="399" t="s">
        <v>3</v>
      </c>
      <c r="L525" s="483">
        <f t="shared" si="58"/>
        <v>47.185200000000002</v>
      </c>
    </row>
    <row r="526" spans="2:12" ht="14.4" x14ac:dyDescent="0.25">
      <c r="B526" s="217" t="s">
        <v>482</v>
      </c>
      <c r="C526" s="398"/>
      <c r="D526" s="483">
        <v>4.84</v>
      </c>
      <c r="E526" s="389"/>
      <c r="F526" s="389">
        <v>3.38</v>
      </c>
      <c r="G526" s="390">
        <v>1</v>
      </c>
      <c r="H526" s="389">
        <f t="shared" si="57"/>
        <v>16.359199999999998</v>
      </c>
      <c r="I526" s="481"/>
      <c r="J526" s="399"/>
      <c r="K526" s="399" t="s">
        <v>3</v>
      </c>
      <c r="L526" s="483">
        <f t="shared" si="58"/>
        <v>16.359199999999998</v>
      </c>
    </row>
    <row r="527" spans="2:12" ht="14.4" x14ac:dyDescent="0.25">
      <c r="B527" s="217" t="s">
        <v>483</v>
      </c>
      <c r="C527" s="398"/>
      <c r="D527" s="483">
        <v>3.44</v>
      </c>
      <c r="E527" s="389"/>
      <c r="F527" s="389">
        <v>3.06</v>
      </c>
      <c r="G527" s="390">
        <v>1</v>
      </c>
      <c r="H527" s="389">
        <f t="shared" si="57"/>
        <v>10.526400000000001</v>
      </c>
      <c r="I527" s="481"/>
      <c r="J527" s="399"/>
      <c r="K527" s="399" t="s">
        <v>3</v>
      </c>
      <c r="L527" s="483">
        <f t="shared" si="58"/>
        <v>10.526400000000001</v>
      </c>
    </row>
    <row r="528" spans="2:12" ht="14.4" x14ac:dyDescent="0.25">
      <c r="B528" s="217" t="s">
        <v>486</v>
      </c>
      <c r="C528" s="398"/>
      <c r="D528" s="483">
        <v>9.86</v>
      </c>
      <c r="E528" s="389"/>
      <c r="F528" s="389">
        <v>3.38</v>
      </c>
      <c r="G528" s="390">
        <v>1</v>
      </c>
      <c r="H528" s="389">
        <f t="shared" si="57"/>
        <v>33.326799999999999</v>
      </c>
      <c r="I528" s="481"/>
      <c r="J528" s="399"/>
      <c r="K528" s="399" t="s">
        <v>3</v>
      </c>
      <c r="L528" s="483">
        <f t="shared" si="58"/>
        <v>33.326799999999999</v>
      </c>
    </row>
    <row r="529" spans="2:12" ht="14.4" x14ac:dyDescent="0.25">
      <c r="B529" s="217" t="s">
        <v>488</v>
      </c>
      <c r="C529" s="398"/>
      <c r="D529" s="483">
        <v>15.36</v>
      </c>
      <c r="E529" s="389"/>
      <c r="F529" s="389">
        <v>3.38</v>
      </c>
      <c r="G529" s="390">
        <v>1</v>
      </c>
      <c r="H529" s="389">
        <f t="shared" si="57"/>
        <v>51.916799999999995</v>
      </c>
      <c r="I529" s="481"/>
      <c r="J529" s="399"/>
      <c r="K529" s="399" t="s">
        <v>3</v>
      </c>
      <c r="L529" s="483">
        <f t="shared" si="58"/>
        <v>51.916799999999995</v>
      </c>
    </row>
    <row r="530" spans="2:12" ht="14.4" x14ac:dyDescent="0.25">
      <c r="B530" s="21" t="s">
        <v>563</v>
      </c>
      <c r="C530" s="12"/>
      <c r="D530" s="35">
        <f>SUM(D521:D529)</f>
        <v>60.849999999999994</v>
      </c>
      <c r="E530" s="459"/>
      <c r="F530" s="10"/>
      <c r="G530" s="22"/>
      <c r="H530" s="19"/>
      <c r="I530" s="19"/>
      <c r="J530" s="19"/>
      <c r="K530" s="23" t="s">
        <v>3</v>
      </c>
      <c r="L530" s="13">
        <f>SUM(L521:L529)</f>
        <v>224.51679999999996</v>
      </c>
    </row>
    <row r="531" spans="2:12" ht="14.4" x14ac:dyDescent="0.3">
      <c r="B531" s="24" t="s">
        <v>689</v>
      </c>
      <c r="C531" s="114"/>
      <c r="D531" s="115"/>
      <c r="E531" s="115"/>
      <c r="F531" s="115"/>
      <c r="G531" s="114"/>
      <c r="H531" s="116"/>
      <c r="I531" s="117"/>
      <c r="J531" s="116"/>
      <c r="K531" s="116"/>
      <c r="L531" s="118"/>
    </row>
    <row r="532" spans="2:12" ht="14.4" x14ac:dyDescent="0.25">
      <c r="B532" s="217" t="s">
        <v>53</v>
      </c>
      <c r="C532" s="398"/>
      <c r="D532" s="389">
        <v>7.28</v>
      </c>
      <c r="E532" s="389"/>
      <c r="F532" s="389">
        <v>2.59</v>
      </c>
      <c r="G532" s="390">
        <v>1</v>
      </c>
      <c r="H532" s="389">
        <f t="shared" ref="H532:H533" si="59">D532*F532*G532-I532</f>
        <v>18.8552</v>
      </c>
      <c r="I532" s="481"/>
      <c r="J532" s="399"/>
      <c r="K532" s="399" t="s">
        <v>3</v>
      </c>
      <c r="L532" s="483">
        <f t="shared" ref="L532:L533" si="60">H532</f>
        <v>18.8552</v>
      </c>
    </row>
    <row r="533" spans="2:12" ht="14.4" x14ac:dyDescent="0.25">
      <c r="B533" s="217" t="s">
        <v>476</v>
      </c>
      <c r="C533" s="398"/>
      <c r="D533" s="389">
        <v>3.63</v>
      </c>
      <c r="E533" s="389"/>
      <c r="F533" s="389">
        <v>2.59</v>
      </c>
      <c r="G533" s="390">
        <v>1</v>
      </c>
      <c r="H533" s="389">
        <f t="shared" si="59"/>
        <v>9.4016999999999999</v>
      </c>
      <c r="I533" s="481"/>
      <c r="J533" s="399"/>
      <c r="K533" s="399" t="s">
        <v>3</v>
      </c>
      <c r="L533" s="483">
        <f t="shared" si="60"/>
        <v>9.4016999999999999</v>
      </c>
    </row>
    <row r="534" spans="2:12" ht="14.4" x14ac:dyDescent="0.25">
      <c r="B534" s="21" t="s">
        <v>684</v>
      </c>
      <c r="C534" s="12"/>
      <c r="D534" s="35">
        <f>SUM(D532:D533)</f>
        <v>10.91</v>
      </c>
      <c r="E534" s="459"/>
      <c r="F534" s="10"/>
      <c r="G534" s="22"/>
      <c r="H534" s="19"/>
      <c r="I534" s="19"/>
      <c r="J534" s="19"/>
      <c r="K534" s="23" t="s">
        <v>3</v>
      </c>
      <c r="L534" s="13">
        <f>SUM(L532:L533)</f>
        <v>28.256900000000002</v>
      </c>
    </row>
    <row r="535" spans="2:12" ht="14.4" x14ac:dyDescent="0.3">
      <c r="B535" s="24" t="s">
        <v>687</v>
      </c>
      <c r="C535" s="114"/>
      <c r="D535" s="115"/>
      <c r="E535" s="115"/>
      <c r="F535" s="115"/>
      <c r="G535" s="114"/>
      <c r="H535" s="116"/>
      <c r="I535" s="117"/>
      <c r="J535" s="116"/>
      <c r="K535" s="116"/>
      <c r="L535" s="118"/>
    </row>
    <row r="536" spans="2:12" ht="14.4" x14ac:dyDescent="0.25">
      <c r="B536" s="217" t="s">
        <v>475</v>
      </c>
      <c r="C536" s="398"/>
      <c r="D536" s="483">
        <v>3.85</v>
      </c>
      <c r="E536" s="389"/>
      <c r="F536" s="389">
        <v>3.94</v>
      </c>
      <c r="G536" s="390">
        <v>1</v>
      </c>
      <c r="H536" s="389">
        <f t="shared" ref="H536:H541" si="61">D536*F536*G536-I536</f>
        <v>15.169</v>
      </c>
      <c r="I536" s="481"/>
      <c r="J536" s="399"/>
      <c r="K536" s="399" t="s">
        <v>3</v>
      </c>
      <c r="L536" s="483">
        <f t="shared" ref="L536:L541" si="62">H536</f>
        <v>15.169</v>
      </c>
    </row>
    <row r="537" spans="2:12" ht="14.4" x14ac:dyDescent="0.25">
      <c r="B537" s="217" t="s">
        <v>484</v>
      </c>
      <c r="C537" s="398"/>
      <c r="D537" s="483">
        <v>17.03</v>
      </c>
      <c r="E537" s="389"/>
      <c r="F537" s="389">
        <v>1.33</v>
      </c>
      <c r="G537" s="390">
        <v>1</v>
      </c>
      <c r="H537" s="389">
        <f t="shared" si="61"/>
        <v>22.649900000000002</v>
      </c>
      <c r="I537" s="481"/>
      <c r="J537" s="399"/>
      <c r="K537" s="399" t="s">
        <v>3</v>
      </c>
      <c r="L537" s="483">
        <f t="shared" si="62"/>
        <v>22.649900000000002</v>
      </c>
    </row>
    <row r="538" spans="2:12" ht="14.4" x14ac:dyDescent="0.25">
      <c r="B538" s="217" t="s">
        <v>485</v>
      </c>
      <c r="C538" s="398"/>
      <c r="D538" s="483">
        <v>9.02</v>
      </c>
      <c r="E538" s="389"/>
      <c r="F538" s="389">
        <v>3.38</v>
      </c>
      <c r="G538" s="390">
        <v>1</v>
      </c>
      <c r="H538" s="389">
        <f t="shared" si="61"/>
        <v>30.487599999999997</v>
      </c>
      <c r="I538" s="481"/>
      <c r="J538" s="399"/>
      <c r="K538" s="399" t="s">
        <v>3</v>
      </c>
      <c r="L538" s="483">
        <f t="shared" si="62"/>
        <v>30.487599999999997</v>
      </c>
    </row>
    <row r="539" spans="2:12" ht="14.4" x14ac:dyDescent="0.25">
      <c r="B539" s="217" t="s">
        <v>487</v>
      </c>
      <c r="C539" s="398"/>
      <c r="D539" s="483">
        <v>16.190000000000001</v>
      </c>
      <c r="E539" s="389"/>
      <c r="F539" s="389">
        <v>1.33</v>
      </c>
      <c r="G539" s="390">
        <v>1</v>
      </c>
      <c r="H539" s="389">
        <f t="shared" si="61"/>
        <v>21.532700000000002</v>
      </c>
      <c r="I539" s="481"/>
      <c r="J539" s="399"/>
      <c r="K539" s="399" t="s">
        <v>3</v>
      </c>
      <c r="L539" s="483">
        <f t="shared" si="62"/>
        <v>21.532700000000002</v>
      </c>
    </row>
    <row r="540" spans="2:12" ht="14.4" x14ac:dyDescent="0.25">
      <c r="B540" s="217" t="s">
        <v>489</v>
      </c>
      <c r="C540" s="398"/>
      <c r="D540" s="483">
        <v>22.18</v>
      </c>
      <c r="E540" s="389"/>
      <c r="F540" s="389">
        <v>1.33</v>
      </c>
      <c r="G540" s="390">
        <v>1</v>
      </c>
      <c r="H540" s="389">
        <f t="shared" si="61"/>
        <v>29.499400000000001</v>
      </c>
      <c r="I540" s="481"/>
      <c r="J540" s="399"/>
      <c r="K540" s="399" t="s">
        <v>3</v>
      </c>
      <c r="L540" s="483">
        <f t="shared" si="62"/>
        <v>29.499400000000001</v>
      </c>
    </row>
    <row r="541" spans="2:12" ht="14.4" x14ac:dyDescent="0.25">
      <c r="B541" s="217" t="s">
        <v>490</v>
      </c>
      <c r="C541" s="398"/>
      <c r="D541" s="483">
        <v>44.32</v>
      </c>
      <c r="E541" s="389"/>
      <c r="F541" s="389">
        <v>3.38</v>
      </c>
      <c r="G541" s="390">
        <v>1</v>
      </c>
      <c r="H541" s="389">
        <f t="shared" si="61"/>
        <v>149.80160000000001</v>
      </c>
      <c r="I541" s="481"/>
      <c r="J541" s="399"/>
      <c r="K541" s="399" t="s">
        <v>3</v>
      </c>
      <c r="L541" s="483">
        <f t="shared" si="62"/>
        <v>149.80160000000001</v>
      </c>
    </row>
    <row r="542" spans="2:12" ht="14.4" x14ac:dyDescent="0.25">
      <c r="B542" s="21" t="s">
        <v>564</v>
      </c>
      <c r="C542" s="12"/>
      <c r="D542" s="35">
        <f>SUM(D536:D541)</f>
        <v>112.59</v>
      </c>
      <c r="E542" s="459"/>
      <c r="F542" s="10"/>
      <c r="G542" s="22"/>
      <c r="H542" s="19"/>
      <c r="I542" s="19"/>
      <c r="J542" s="19"/>
      <c r="K542" s="23" t="s">
        <v>3</v>
      </c>
      <c r="L542" s="13">
        <f>SUM(L536:L541)</f>
        <v>269.14020000000005</v>
      </c>
    </row>
    <row r="543" spans="2:12" ht="15.6" x14ac:dyDescent="0.25">
      <c r="B543" s="539" t="s">
        <v>644</v>
      </c>
      <c r="C543" s="540"/>
      <c r="D543" s="541"/>
      <c r="E543" s="541"/>
      <c r="F543" s="541"/>
      <c r="G543" s="540"/>
      <c r="H543" s="542"/>
      <c r="I543" s="543"/>
      <c r="J543" s="542"/>
      <c r="K543" s="542"/>
      <c r="L543" s="544"/>
    </row>
    <row r="544" spans="2:12" ht="15.6" x14ac:dyDescent="0.25">
      <c r="B544" s="59" t="s">
        <v>61</v>
      </c>
      <c r="C544" s="119"/>
      <c r="D544" s="120"/>
      <c r="E544" s="119"/>
      <c r="F544" s="121"/>
      <c r="G544" s="122"/>
      <c r="H544" s="123"/>
      <c r="I544" s="123"/>
      <c r="J544" s="123"/>
      <c r="K544" s="124"/>
      <c r="L544" s="125"/>
    </row>
    <row r="545" spans="1:12" ht="14.4" x14ac:dyDescent="0.25">
      <c r="B545" s="822" t="s">
        <v>1</v>
      </c>
      <c r="C545" s="55" t="s">
        <v>0</v>
      </c>
      <c r="D545" s="52" t="s">
        <v>12</v>
      </c>
      <c r="E545" s="52" t="s">
        <v>4</v>
      </c>
      <c r="F545" s="52" t="s">
        <v>2</v>
      </c>
      <c r="G545" s="52" t="s">
        <v>6</v>
      </c>
      <c r="H545" s="148" t="s">
        <v>5</v>
      </c>
      <c r="I545" s="56" t="s">
        <v>13</v>
      </c>
      <c r="J545" s="148" t="s">
        <v>14</v>
      </c>
      <c r="K545" s="822" t="s">
        <v>7</v>
      </c>
      <c r="L545" s="824" t="s">
        <v>8</v>
      </c>
    </row>
    <row r="546" spans="1:12" ht="14.4" x14ac:dyDescent="0.3">
      <c r="B546" s="823"/>
      <c r="C546" s="80" t="s">
        <v>9</v>
      </c>
      <c r="D546" s="81" t="s">
        <v>10</v>
      </c>
      <c r="E546" s="81" t="s">
        <v>10</v>
      </c>
      <c r="F546" s="81" t="s">
        <v>10</v>
      </c>
      <c r="G546" s="80" t="s">
        <v>9</v>
      </c>
      <c r="H546" s="82" t="s">
        <v>11</v>
      </c>
      <c r="I546" s="113" t="s">
        <v>11</v>
      </c>
      <c r="J546" s="82" t="s">
        <v>15</v>
      </c>
      <c r="K546" s="823"/>
      <c r="L546" s="825"/>
    </row>
    <row r="547" spans="1:12" ht="14.4" x14ac:dyDescent="0.3">
      <c r="B547" s="20" t="s">
        <v>699</v>
      </c>
      <c r="C547" s="381"/>
      <c r="D547" s="382"/>
      <c r="E547" s="382"/>
      <c r="F547" s="382"/>
      <c r="G547" s="381"/>
      <c r="H547" s="383"/>
      <c r="I547" s="384"/>
      <c r="J547" s="383"/>
      <c r="K547" s="383"/>
      <c r="L547" s="7"/>
    </row>
    <row r="548" spans="1:12" ht="14.4" x14ac:dyDescent="0.25">
      <c r="A548" s="224"/>
      <c r="B548" s="217" t="s">
        <v>53</v>
      </c>
      <c r="C548" s="398"/>
      <c r="D548" s="389">
        <v>0.4</v>
      </c>
      <c r="E548" s="389"/>
      <c r="F548" s="389">
        <v>3.94</v>
      </c>
      <c r="G548" s="390">
        <v>1</v>
      </c>
      <c r="H548" s="389">
        <f t="shared" ref="H548:H600" si="63">D548*F548*G548-I548</f>
        <v>1.5760000000000001</v>
      </c>
      <c r="I548" s="483"/>
      <c r="J548" s="399"/>
      <c r="K548" s="399" t="s">
        <v>3</v>
      </c>
      <c r="L548" s="389">
        <f>H548</f>
        <v>1.5760000000000001</v>
      </c>
    </row>
    <row r="549" spans="1:12" ht="14.4" x14ac:dyDescent="0.3">
      <c r="A549" s="224"/>
      <c r="B549" s="534" t="s">
        <v>475</v>
      </c>
      <c r="C549" s="385"/>
      <c r="D549" s="386">
        <v>1.48</v>
      </c>
      <c r="E549" s="386"/>
      <c r="F549" s="386">
        <v>3.94</v>
      </c>
      <c r="G549" s="535">
        <v>1</v>
      </c>
      <c r="H549" s="386">
        <f t="shared" ref="H549" si="64">D549*F549*G549-I549</f>
        <v>1.9811999999999999</v>
      </c>
      <c r="I549" s="386">
        <v>3.85</v>
      </c>
      <c r="J549" s="387"/>
      <c r="K549" s="387" t="s">
        <v>3</v>
      </c>
      <c r="L549" s="386">
        <f t="shared" ref="L549" si="65">H549</f>
        <v>1.9811999999999999</v>
      </c>
    </row>
    <row r="550" spans="1:12" ht="14.4" x14ac:dyDescent="0.25">
      <c r="A550" s="224"/>
      <c r="B550" s="217" t="s">
        <v>476</v>
      </c>
      <c r="C550" s="398"/>
      <c r="D550" s="389">
        <v>2.31</v>
      </c>
      <c r="E550" s="389"/>
      <c r="F550" s="389">
        <v>3.94</v>
      </c>
      <c r="G550" s="390">
        <v>1</v>
      </c>
      <c r="H550" s="389">
        <f t="shared" si="63"/>
        <v>9.1013999999999999</v>
      </c>
      <c r="I550" s="483"/>
      <c r="J550" s="399"/>
      <c r="K550" s="399" t="s">
        <v>3</v>
      </c>
      <c r="L550" s="389">
        <f t="shared" ref="L550:L600" si="66">H550</f>
        <v>9.1013999999999999</v>
      </c>
    </row>
    <row r="551" spans="1:12" ht="14.4" x14ac:dyDescent="0.25">
      <c r="A551" s="224"/>
      <c r="B551" s="217" t="s">
        <v>477</v>
      </c>
      <c r="C551" s="398"/>
      <c r="D551" s="389">
        <v>1.42</v>
      </c>
      <c r="E551" s="389"/>
      <c r="F551" s="389">
        <v>3.94</v>
      </c>
      <c r="G551" s="390">
        <v>1</v>
      </c>
      <c r="H551" s="389">
        <f t="shared" si="63"/>
        <v>5.5947999999999993</v>
      </c>
      <c r="I551" s="483"/>
      <c r="J551" s="399"/>
      <c r="K551" s="399" t="s">
        <v>3</v>
      </c>
      <c r="L551" s="389">
        <f t="shared" si="66"/>
        <v>5.5947999999999993</v>
      </c>
    </row>
    <row r="552" spans="1:12" ht="14.4" x14ac:dyDescent="0.25">
      <c r="A552" s="224"/>
      <c r="B552" s="217" t="s">
        <v>479</v>
      </c>
      <c r="C552" s="398"/>
      <c r="D552" s="389">
        <v>2.85</v>
      </c>
      <c r="E552" s="389"/>
      <c r="F552" s="389">
        <v>3.94</v>
      </c>
      <c r="G552" s="390">
        <v>1</v>
      </c>
      <c r="H552" s="389">
        <f t="shared" si="63"/>
        <v>5.1190000000000007</v>
      </c>
      <c r="I552" s="483">
        <v>6.11</v>
      </c>
      <c r="J552" s="399"/>
      <c r="K552" s="399" t="s">
        <v>3</v>
      </c>
      <c r="L552" s="389">
        <f t="shared" si="66"/>
        <v>5.1190000000000007</v>
      </c>
    </row>
    <row r="553" spans="1:12" ht="14.4" x14ac:dyDescent="0.25">
      <c r="A553" s="224"/>
      <c r="B553" s="217" t="s">
        <v>480</v>
      </c>
      <c r="C553" s="398"/>
      <c r="D553" s="389">
        <v>0.32</v>
      </c>
      <c r="E553" s="389"/>
      <c r="F553" s="389">
        <v>3.94</v>
      </c>
      <c r="G553" s="390">
        <v>1</v>
      </c>
      <c r="H553" s="389">
        <f t="shared" si="63"/>
        <v>1.2607999999999999</v>
      </c>
      <c r="I553" s="483"/>
      <c r="J553" s="399"/>
      <c r="K553" s="399" t="s">
        <v>3</v>
      </c>
      <c r="L553" s="389">
        <f t="shared" si="66"/>
        <v>1.2607999999999999</v>
      </c>
    </row>
    <row r="554" spans="1:12" ht="13.8" x14ac:dyDescent="0.25">
      <c r="A554" s="218"/>
      <c r="B554" s="522" t="s">
        <v>482</v>
      </c>
      <c r="C554" s="398"/>
      <c r="D554" s="389">
        <v>4.5999999999999996</v>
      </c>
      <c r="E554" s="389"/>
      <c r="F554" s="389">
        <v>3.94</v>
      </c>
      <c r="G554" s="390">
        <v>1</v>
      </c>
      <c r="H554" s="389">
        <f t="shared" si="63"/>
        <v>18.123999999999999</v>
      </c>
      <c r="I554" s="483"/>
      <c r="J554" s="399"/>
      <c r="K554" s="399" t="s">
        <v>3</v>
      </c>
      <c r="L554" s="389">
        <f t="shared" si="66"/>
        <v>18.123999999999999</v>
      </c>
    </row>
    <row r="555" spans="1:12" ht="13.8" x14ac:dyDescent="0.25">
      <c r="A555" s="218"/>
      <c r="B555" s="522" t="s">
        <v>485</v>
      </c>
      <c r="C555" s="398"/>
      <c r="D555" s="389">
        <v>2.48</v>
      </c>
      <c r="E555" s="389"/>
      <c r="F555" s="389">
        <v>3.94</v>
      </c>
      <c r="G555" s="390">
        <v>1</v>
      </c>
      <c r="H555" s="389">
        <f t="shared" si="63"/>
        <v>6.4112000000000009</v>
      </c>
      <c r="I555" s="483">
        <v>3.36</v>
      </c>
      <c r="J555" s="399"/>
      <c r="K555" s="399" t="s">
        <v>3</v>
      </c>
      <c r="L555" s="389">
        <f t="shared" si="66"/>
        <v>6.4112000000000009</v>
      </c>
    </row>
    <row r="556" spans="1:12" ht="13.8" x14ac:dyDescent="0.25">
      <c r="A556" s="218"/>
      <c r="B556" s="522" t="s">
        <v>491</v>
      </c>
      <c r="C556" s="398"/>
      <c r="D556" s="389">
        <v>0.94</v>
      </c>
      <c r="E556" s="389"/>
      <c r="F556" s="389">
        <v>3.94</v>
      </c>
      <c r="G556" s="390">
        <v>1</v>
      </c>
      <c r="H556" s="389">
        <f t="shared" si="63"/>
        <v>3.7035999999999998</v>
      </c>
      <c r="I556" s="483"/>
      <c r="J556" s="399"/>
      <c r="K556" s="399" t="s">
        <v>3</v>
      </c>
      <c r="L556" s="389">
        <f t="shared" si="66"/>
        <v>3.7035999999999998</v>
      </c>
    </row>
    <row r="557" spans="1:12" ht="13.8" x14ac:dyDescent="0.25">
      <c r="A557" s="218"/>
      <c r="B557" s="522" t="s">
        <v>492</v>
      </c>
      <c r="C557" s="398"/>
      <c r="D557" s="389">
        <v>2.83</v>
      </c>
      <c r="E557" s="389"/>
      <c r="F557" s="389">
        <v>3.94</v>
      </c>
      <c r="G557" s="390">
        <v>1</v>
      </c>
      <c r="H557" s="389">
        <f t="shared" si="63"/>
        <v>11.1502</v>
      </c>
      <c r="I557" s="483"/>
      <c r="J557" s="399"/>
      <c r="K557" s="399" t="s">
        <v>3</v>
      </c>
      <c r="L557" s="389">
        <f t="shared" si="66"/>
        <v>11.1502</v>
      </c>
    </row>
    <row r="558" spans="1:12" ht="13.8" x14ac:dyDescent="0.25">
      <c r="A558" s="218"/>
      <c r="B558" s="522" t="s">
        <v>493</v>
      </c>
      <c r="C558" s="398"/>
      <c r="D558" s="389">
        <v>7.49</v>
      </c>
      <c r="E558" s="389"/>
      <c r="F558" s="389">
        <v>3.94</v>
      </c>
      <c r="G558" s="390">
        <v>1</v>
      </c>
      <c r="H558" s="389">
        <f t="shared" si="63"/>
        <v>29.5106</v>
      </c>
      <c r="I558" s="483"/>
      <c r="J558" s="399"/>
      <c r="K558" s="399" t="s">
        <v>3</v>
      </c>
      <c r="L558" s="389">
        <f t="shared" si="66"/>
        <v>29.5106</v>
      </c>
    </row>
    <row r="559" spans="1:12" ht="13.8" x14ac:dyDescent="0.25">
      <c r="A559" s="218"/>
      <c r="B559" s="522" t="s">
        <v>494</v>
      </c>
      <c r="C559" s="398"/>
      <c r="D559" s="389">
        <v>1.84</v>
      </c>
      <c r="E559" s="389"/>
      <c r="F559" s="389">
        <v>3.94</v>
      </c>
      <c r="G559" s="390">
        <v>2</v>
      </c>
      <c r="H559" s="389">
        <f t="shared" si="63"/>
        <v>14.4992</v>
      </c>
      <c r="I559" s="483"/>
      <c r="J559" s="399"/>
      <c r="K559" s="399" t="s">
        <v>3</v>
      </c>
      <c r="L559" s="389">
        <f t="shared" si="66"/>
        <v>14.4992</v>
      </c>
    </row>
    <row r="560" spans="1:12" ht="13.8" x14ac:dyDescent="0.25">
      <c r="A560" s="218"/>
      <c r="B560" s="522" t="s">
        <v>498</v>
      </c>
      <c r="C560" s="398"/>
      <c r="D560" s="389">
        <v>1.6</v>
      </c>
      <c r="E560" s="389"/>
      <c r="F560" s="389">
        <v>3.94</v>
      </c>
      <c r="G560" s="390">
        <v>1</v>
      </c>
      <c r="H560" s="389">
        <f t="shared" si="63"/>
        <v>6.3040000000000003</v>
      </c>
      <c r="I560" s="483"/>
      <c r="J560" s="399"/>
      <c r="K560" s="399" t="s">
        <v>3</v>
      </c>
      <c r="L560" s="389">
        <f t="shared" si="66"/>
        <v>6.3040000000000003</v>
      </c>
    </row>
    <row r="561" spans="1:12" ht="13.8" x14ac:dyDescent="0.25">
      <c r="A561" s="218"/>
      <c r="B561" s="522" t="s">
        <v>499</v>
      </c>
      <c r="C561" s="398"/>
      <c r="D561" s="389">
        <v>4.58</v>
      </c>
      <c r="E561" s="389"/>
      <c r="F561" s="389">
        <v>3.94</v>
      </c>
      <c r="G561" s="390">
        <v>1</v>
      </c>
      <c r="H561" s="389">
        <f t="shared" si="63"/>
        <v>18.045200000000001</v>
      </c>
      <c r="I561" s="483"/>
      <c r="J561" s="399"/>
      <c r="K561" s="399" t="s">
        <v>3</v>
      </c>
      <c r="L561" s="389">
        <f t="shared" si="66"/>
        <v>18.045200000000001</v>
      </c>
    </row>
    <row r="562" spans="1:12" ht="13.8" x14ac:dyDescent="0.25">
      <c r="A562" s="218"/>
      <c r="B562" s="522" t="s">
        <v>501</v>
      </c>
      <c r="C562" s="398"/>
      <c r="D562" s="389">
        <v>4.7</v>
      </c>
      <c r="E562" s="389"/>
      <c r="F562" s="389">
        <v>3.94</v>
      </c>
      <c r="G562" s="390">
        <v>1</v>
      </c>
      <c r="H562" s="389">
        <f t="shared" si="63"/>
        <v>18.518000000000001</v>
      </c>
      <c r="I562" s="483"/>
      <c r="J562" s="399"/>
      <c r="K562" s="399" t="s">
        <v>3</v>
      </c>
      <c r="L562" s="389">
        <f t="shared" si="66"/>
        <v>18.518000000000001</v>
      </c>
    </row>
    <row r="563" spans="1:12" ht="13.8" x14ac:dyDescent="0.25">
      <c r="A563" s="218"/>
      <c r="B563" s="522" t="s">
        <v>502</v>
      </c>
      <c r="C563" s="398"/>
      <c r="D563" s="389">
        <v>2</v>
      </c>
      <c r="E563" s="389"/>
      <c r="F563" s="389">
        <v>3.94</v>
      </c>
      <c r="G563" s="390">
        <v>2</v>
      </c>
      <c r="H563" s="389">
        <f t="shared" si="63"/>
        <v>9.0399999999999991</v>
      </c>
      <c r="I563" s="483">
        <v>6.72</v>
      </c>
      <c r="J563" s="399"/>
      <c r="K563" s="399" t="s">
        <v>3</v>
      </c>
      <c r="L563" s="389">
        <f t="shared" si="66"/>
        <v>9.0399999999999991</v>
      </c>
    </row>
    <row r="564" spans="1:12" ht="13.8" x14ac:dyDescent="0.25">
      <c r="A564" s="218"/>
      <c r="B564" s="522" t="s">
        <v>509</v>
      </c>
      <c r="C564" s="398"/>
      <c r="D564" s="389">
        <v>1.45</v>
      </c>
      <c r="E564" s="389"/>
      <c r="F564" s="389">
        <v>3.94</v>
      </c>
      <c r="G564" s="390">
        <v>2</v>
      </c>
      <c r="H564" s="389">
        <f t="shared" si="63"/>
        <v>11.426</v>
      </c>
      <c r="I564" s="483"/>
      <c r="J564" s="399"/>
      <c r="K564" s="399" t="s">
        <v>3</v>
      </c>
      <c r="L564" s="389">
        <f t="shared" si="66"/>
        <v>11.426</v>
      </c>
    </row>
    <row r="565" spans="1:12" ht="13.8" x14ac:dyDescent="0.25">
      <c r="A565" s="218"/>
      <c r="B565" s="522" t="s">
        <v>516</v>
      </c>
      <c r="C565" s="398"/>
      <c r="D565" s="389">
        <v>2.8</v>
      </c>
      <c r="E565" s="389"/>
      <c r="F565" s="389">
        <v>3.94</v>
      </c>
      <c r="G565" s="390">
        <v>1</v>
      </c>
      <c r="H565" s="389">
        <f t="shared" si="63"/>
        <v>11.032</v>
      </c>
      <c r="I565" s="483"/>
      <c r="J565" s="399"/>
      <c r="K565" s="399" t="s">
        <v>3</v>
      </c>
      <c r="L565" s="389">
        <f t="shared" si="66"/>
        <v>11.032</v>
      </c>
    </row>
    <row r="566" spans="1:12" ht="13.8" x14ac:dyDescent="0.25">
      <c r="A566" s="218"/>
      <c r="B566" s="522" t="s">
        <v>519</v>
      </c>
      <c r="C566" s="398"/>
      <c r="D566" s="389">
        <v>2.71</v>
      </c>
      <c r="E566" s="389"/>
      <c r="F566" s="389">
        <v>3.94</v>
      </c>
      <c r="G566" s="390">
        <v>1</v>
      </c>
      <c r="H566" s="389">
        <f t="shared" si="63"/>
        <v>10.6774</v>
      </c>
      <c r="I566" s="483"/>
      <c r="J566" s="399"/>
      <c r="K566" s="399" t="s">
        <v>3</v>
      </c>
      <c r="L566" s="389">
        <f t="shared" si="66"/>
        <v>10.6774</v>
      </c>
    </row>
    <row r="567" spans="1:12" ht="13.8" x14ac:dyDescent="0.25">
      <c r="A567" s="218"/>
      <c r="B567" s="522" t="s">
        <v>524</v>
      </c>
      <c r="C567" s="398"/>
      <c r="D567" s="389">
        <v>1.75</v>
      </c>
      <c r="E567" s="389"/>
      <c r="F567" s="389">
        <v>3.94</v>
      </c>
      <c r="G567" s="390">
        <v>1</v>
      </c>
      <c r="H567" s="389">
        <f t="shared" si="63"/>
        <v>6.8949999999999996</v>
      </c>
      <c r="I567" s="483"/>
      <c r="J567" s="399"/>
      <c r="K567" s="399" t="s">
        <v>3</v>
      </c>
      <c r="L567" s="389">
        <f t="shared" si="66"/>
        <v>6.8949999999999996</v>
      </c>
    </row>
    <row r="568" spans="1:12" ht="13.8" x14ac:dyDescent="0.25">
      <c r="A568" s="218"/>
      <c r="B568" s="522" t="s">
        <v>525</v>
      </c>
      <c r="C568" s="398"/>
      <c r="D568" s="389">
        <v>2.4500000000000002</v>
      </c>
      <c r="E568" s="389"/>
      <c r="F568" s="389">
        <v>3.94</v>
      </c>
      <c r="G568" s="390">
        <v>1</v>
      </c>
      <c r="H568" s="389">
        <f t="shared" si="63"/>
        <v>9.6530000000000005</v>
      </c>
      <c r="I568" s="483"/>
      <c r="J568" s="399"/>
      <c r="K568" s="399" t="s">
        <v>3</v>
      </c>
      <c r="L568" s="389">
        <f t="shared" si="66"/>
        <v>9.6530000000000005</v>
      </c>
    </row>
    <row r="569" spans="1:12" ht="13.8" x14ac:dyDescent="0.25">
      <c r="A569" s="218"/>
      <c r="B569" s="522" t="s">
        <v>526</v>
      </c>
      <c r="C569" s="398"/>
      <c r="D569" s="389">
        <v>7.12</v>
      </c>
      <c r="E569" s="389"/>
      <c r="F569" s="389">
        <v>3.94</v>
      </c>
      <c r="G569" s="390">
        <v>1</v>
      </c>
      <c r="H569" s="389">
        <f t="shared" si="63"/>
        <v>28.052800000000001</v>
      </c>
      <c r="I569" s="483"/>
      <c r="J569" s="399"/>
      <c r="K569" s="399" t="s">
        <v>3</v>
      </c>
      <c r="L569" s="389">
        <f t="shared" si="66"/>
        <v>28.052800000000001</v>
      </c>
    </row>
    <row r="570" spans="1:12" ht="13.8" x14ac:dyDescent="0.25">
      <c r="A570" s="218"/>
      <c r="B570" s="522" t="s">
        <v>528</v>
      </c>
      <c r="C570" s="398"/>
      <c r="D570" s="389">
        <v>2.72</v>
      </c>
      <c r="E570" s="389"/>
      <c r="F570" s="389">
        <v>3.94</v>
      </c>
      <c r="G570" s="390">
        <v>1</v>
      </c>
      <c r="H570" s="389">
        <f t="shared" si="63"/>
        <v>10.716800000000001</v>
      </c>
      <c r="I570" s="483"/>
      <c r="J570" s="399"/>
      <c r="K570" s="399" t="s">
        <v>3</v>
      </c>
      <c r="L570" s="389">
        <f t="shared" si="66"/>
        <v>10.716800000000001</v>
      </c>
    </row>
    <row r="571" spans="1:12" ht="13.8" x14ac:dyDescent="0.25">
      <c r="A571" s="218"/>
      <c r="B571" s="522" t="s">
        <v>530</v>
      </c>
      <c r="C571" s="398"/>
      <c r="D571" s="389">
        <v>3.6</v>
      </c>
      <c r="E571" s="389"/>
      <c r="F571" s="389">
        <v>3.94</v>
      </c>
      <c r="G571" s="390">
        <v>1</v>
      </c>
      <c r="H571" s="389">
        <f t="shared" si="63"/>
        <v>14.183999999999999</v>
      </c>
      <c r="I571" s="483"/>
      <c r="J571" s="399"/>
      <c r="K571" s="399" t="s">
        <v>3</v>
      </c>
      <c r="L571" s="389">
        <f t="shared" si="66"/>
        <v>14.183999999999999</v>
      </c>
    </row>
    <row r="572" spans="1:12" ht="13.8" x14ac:dyDescent="0.25">
      <c r="A572" s="218"/>
      <c r="B572" s="522" t="s">
        <v>531</v>
      </c>
      <c r="C572" s="398"/>
      <c r="D572" s="389">
        <v>2.86</v>
      </c>
      <c r="E572" s="389"/>
      <c r="F572" s="389">
        <v>3.94</v>
      </c>
      <c r="G572" s="390">
        <v>1</v>
      </c>
      <c r="H572" s="389">
        <f t="shared" si="63"/>
        <v>6.4783999999999997</v>
      </c>
      <c r="I572" s="483">
        <v>4.79</v>
      </c>
      <c r="J572" s="399"/>
      <c r="K572" s="399" t="s">
        <v>3</v>
      </c>
      <c r="L572" s="389">
        <f t="shared" si="66"/>
        <v>6.4783999999999997</v>
      </c>
    </row>
    <row r="573" spans="1:12" ht="13.8" x14ac:dyDescent="0.25">
      <c r="A573" s="218"/>
      <c r="B573" s="522" t="s">
        <v>532</v>
      </c>
      <c r="C573" s="398"/>
      <c r="D573" s="389">
        <v>2.33</v>
      </c>
      <c r="E573" s="389"/>
      <c r="F573" s="389">
        <v>3.94</v>
      </c>
      <c r="G573" s="390">
        <v>1</v>
      </c>
      <c r="H573" s="389">
        <f t="shared" si="63"/>
        <v>9.180200000000001</v>
      </c>
      <c r="I573" s="483"/>
      <c r="J573" s="399"/>
      <c r="K573" s="399" t="s">
        <v>3</v>
      </c>
      <c r="L573" s="389">
        <f t="shared" si="66"/>
        <v>9.180200000000001</v>
      </c>
    </row>
    <row r="574" spans="1:12" ht="13.8" x14ac:dyDescent="0.25">
      <c r="A574" s="218"/>
      <c r="B574" s="522" t="s">
        <v>533</v>
      </c>
      <c r="C574" s="398"/>
      <c r="D574" s="389">
        <v>2.8</v>
      </c>
      <c r="E574" s="389"/>
      <c r="F574" s="389">
        <v>3.94</v>
      </c>
      <c r="G574" s="390">
        <v>1</v>
      </c>
      <c r="H574" s="389">
        <f t="shared" si="63"/>
        <v>11.032</v>
      </c>
      <c r="I574" s="483"/>
      <c r="J574" s="399"/>
      <c r="K574" s="399" t="s">
        <v>3</v>
      </c>
      <c r="L574" s="389">
        <f t="shared" si="66"/>
        <v>11.032</v>
      </c>
    </row>
    <row r="575" spans="1:12" ht="13.8" x14ac:dyDescent="0.25">
      <c r="A575" s="218"/>
      <c r="B575" s="522" t="s">
        <v>536</v>
      </c>
      <c r="C575" s="398"/>
      <c r="D575" s="389">
        <v>2.1800000000000002</v>
      </c>
      <c r="E575" s="389"/>
      <c r="F575" s="389">
        <v>3.94</v>
      </c>
      <c r="G575" s="390">
        <v>1</v>
      </c>
      <c r="H575" s="389">
        <f t="shared" si="63"/>
        <v>6.2791999999999994</v>
      </c>
      <c r="I575" s="483">
        <v>2.31</v>
      </c>
      <c r="J575" s="399"/>
      <c r="K575" s="399" t="s">
        <v>3</v>
      </c>
      <c r="L575" s="389">
        <f t="shared" si="66"/>
        <v>6.2791999999999994</v>
      </c>
    </row>
    <row r="576" spans="1:12" ht="13.8" x14ac:dyDescent="0.25">
      <c r="A576" s="218"/>
      <c r="B576" s="522" t="s">
        <v>537</v>
      </c>
      <c r="C576" s="398"/>
      <c r="D576" s="389">
        <v>0.75</v>
      </c>
      <c r="E576" s="389"/>
      <c r="F576" s="389">
        <v>3.94</v>
      </c>
      <c r="G576" s="390">
        <v>2</v>
      </c>
      <c r="H576" s="389">
        <f t="shared" si="63"/>
        <v>5.91</v>
      </c>
      <c r="I576" s="483"/>
      <c r="J576" s="399"/>
      <c r="K576" s="399" t="s">
        <v>3</v>
      </c>
      <c r="L576" s="389">
        <f t="shared" si="66"/>
        <v>5.91</v>
      </c>
    </row>
    <row r="577" spans="1:12" ht="13.8" x14ac:dyDescent="0.25">
      <c r="A577" s="218"/>
      <c r="B577" s="522" t="s">
        <v>538</v>
      </c>
      <c r="C577" s="398"/>
      <c r="D577" s="389">
        <v>3.55</v>
      </c>
      <c r="E577" s="389"/>
      <c r="F577" s="389">
        <v>3.94</v>
      </c>
      <c r="G577" s="390">
        <v>1</v>
      </c>
      <c r="H577" s="389">
        <f t="shared" si="63"/>
        <v>6.5369999999999981</v>
      </c>
      <c r="I577" s="483">
        <v>7.45</v>
      </c>
      <c r="J577" s="399"/>
      <c r="K577" s="399" t="s">
        <v>3</v>
      </c>
      <c r="L577" s="389">
        <f t="shared" si="66"/>
        <v>6.5369999999999981</v>
      </c>
    </row>
    <row r="578" spans="1:12" ht="13.8" x14ac:dyDescent="0.25">
      <c r="A578" s="218"/>
      <c r="B578" s="522" t="s">
        <v>540</v>
      </c>
      <c r="C578" s="398"/>
      <c r="D578" s="389">
        <v>1.44</v>
      </c>
      <c r="E578" s="389"/>
      <c r="F578" s="389">
        <v>3.94</v>
      </c>
      <c r="G578" s="390">
        <v>1</v>
      </c>
      <c r="H578" s="389">
        <f t="shared" si="63"/>
        <v>3.3635999999999995</v>
      </c>
      <c r="I578" s="483">
        <v>2.31</v>
      </c>
      <c r="J578" s="399"/>
      <c r="K578" s="399" t="s">
        <v>3</v>
      </c>
      <c r="L578" s="389">
        <f t="shared" si="66"/>
        <v>3.3635999999999995</v>
      </c>
    </row>
    <row r="579" spans="1:12" ht="13.8" x14ac:dyDescent="0.25">
      <c r="A579" s="218"/>
      <c r="B579" s="522" t="s">
        <v>541</v>
      </c>
      <c r="C579" s="398"/>
      <c r="D579" s="389">
        <v>1.62</v>
      </c>
      <c r="E579" s="389"/>
      <c r="F579" s="389">
        <v>3.94</v>
      </c>
      <c r="G579" s="390">
        <v>1</v>
      </c>
      <c r="H579" s="389">
        <f t="shared" si="63"/>
        <v>6.3828000000000005</v>
      </c>
      <c r="I579" s="483"/>
      <c r="J579" s="399"/>
      <c r="K579" s="399" t="s">
        <v>3</v>
      </c>
      <c r="L579" s="389">
        <f t="shared" si="66"/>
        <v>6.3828000000000005</v>
      </c>
    </row>
    <row r="580" spans="1:12" ht="13.8" x14ac:dyDescent="0.25">
      <c r="A580" s="218"/>
      <c r="B580" s="522" t="s">
        <v>542</v>
      </c>
      <c r="C580" s="398"/>
      <c r="D580" s="389">
        <v>1.55</v>
      </c>
      <c r="E580" s="389"/>
      <c r="F580" s="389">
        <v>3.94</v>
      </c>
      <c r="G580" s="390">
        <v>1</v>
      </c>
      <c r="H580" s="389">
        <f t="shared" si="63"/>
        <v>6.1070000000000002</v>
      </c>
      <c r="I580" s="483"/>
      <c r="J580" s="399"/>
      <c r="K580" s="399" t="s">
        <v>3</v>
      </c>
      <c r="L580" s="389">
        <f t="shared" si="66"/>
        <v>6.1070000000000002</v>
      </c>
    </row>
    <row r="581" spans="1:12" ht="13.8" x14ac:dyDescent="0.25">
      <c r="A581" s="218"/>
      <c r="B581" s="522" t="s">
        <v>544</v>
      </c>
      <c r="C581" s="398"/>
      <c r="D581" s="389">
        <v>0.75</v>
      </c>
      <c r="E581" s="389"/>
      <c r="F581" s="389">
        <v>3.94</v>
      </c>
      <c r="G581" s="390">
        <v>1</v>
      </c>
      <c r="H581" s="389">
        <f t="shared" si="63"/>
        <v>2.9550000000000001</v>
      </c>
      <c r="I581" s="483"/>
      <c r="J581" s="399"/>
      <c r="K581" s="399" t="s">
        <v>3</v>
      </c>
      <c r="L581" s="389">
        <f t="shared" si="66"/>
        <v>2.9550000000000001</v>
      </c>
    </row>
    <row r="582" spans="1:12" ht="13.8" x14ac:dyDescent="0.25">
      <c r="A582" s="218"/>
      <c r="B582" s="522" t="s">
        <v>546</v>
      </c>
      <c r="C582" s="398"/>
      <c r="D582" s="389">
        <v>7.18</v>
      </c>
      <c r="E582" s="389"/>
      <c r="F582" s="389">
        <v>3.94</v>
      </c>
      <c r="G582" s="390">
        <v>1</v>
      </c>
      <c r="H582" s="389">
        <f t="shared" si="63"/>
        <v>28.289199999999997</v>
      </c>
      <c r="I582" s="483"/>
      <c r="J582" s="399"/>
      <c r="K582" s="399" t="s">
        <v>3</v>
      </c>
      <c r="L582" s="389">
        <f t="shared" si="66"/>
        <v>28.289199999999997</v>
      </c>
    </row>
    <row r="583" spans="1:12" ht="13.8" x14ac:dyDescent="0.25">
      <c r="A583" s="218"/>
      <c r="B583" s="522" t="s">
        <v>547</v>
      </c>
      <c r="C583" s="398"/>
      <c r="D583" s="389">
        <v>2.5</v>
      </c>
      <c r="E583" s="389"/>
      <c r="F583" s="389">
        <v>3.94</v>
      </c>
      <c r="G583" s="390">
        <v>2</v>
      </c>
      <c r="H583" s="389">
        <f t="shared" si="63"/>
        <v>19.7</v>
      </c>
      <c r="I583" s="483"/>
      <c r="J583" s="399"/>
      <c r="K583" s="399" t="s">
        <v>3</v>
      </c>
      <c r="L583" s="389">
        <f t="shared" si="66"/>
        <v>19.7</v>
      </c>
    </row>
    <row r="584" spans="1:12" ht="13.8" x14ac:dyDescent="0.25">
      <c r="A584" s="218"/>
      <c r="B584" s="522" t="s">
        <v>555</v>
      </c>
      <c r="C584" s="398"/>
      <c r="D584" s="389">
        <v>2</v>
      </c>
      <c r="E584" s="389"/>
      <c r="F584" s="389">
        <v>3.94</v>
      </c>
      <c r="G584" s="390">
        <v>2</v>
      </c>
      <c r="H584" s="389">
        <f t="shared" si="63"/>
        <v>11.14</v>
      </c>
      <c r="I584" s="483">
        <v>4.62</v>
      </c>
      <c r="J584" s="399"/>
      <c r="K584" s="399" t="s">
        <v>3</v>
      </c>
      <c r="L584" s="389">
        <f t="shared" si="66"/>
        <v>11.14</v>
      </c>
    </row>
    <row r="585" spans="1:12" ht="13.8" x14ac:dyDescent="0.25">
      <c r="A585" s="218"/>
      <c r="B585" s="522" t="s">
        <v>557</v>
      </c>
      <c r="C585" s="398"/>
      <c r="D585" s="389">
        <v>1.65</v>
      </c>
      <c r="E585" s="389"/>
      <c r="F585" s="389">
        <v>3.94</v>
      </c>
      <c r="G585" s="390">
        <v>1</v>
      </c>
      <c r="H585" s="389">
        <f t="shared" si="63"/>
        <v>6.5009999999999994</v>
      </c>
      <c r="I585" s="483"/>
      <c r="J585" s="399"/>
      <c r="K585" s="399" t="s">
        <v>3</v>
      </c>
      <c r="L585" s="389">
        <f t="shared" si="66"/>
        <v>6.5009999999999994</v>
      </c>
    </row>
    <row r="586" spans="1:12" ht="13.8" x14ac:dyDescent="0.25">
      <c r="A586" s="218"/>
      <c r="B586" s="522" t="s">
        <v>562</v>
      </c>
      <c r="C586" s="398"/>
      <c r="D586" s="389">
        <v>1.2</v>
      </c>
      <c r="E586" s="389"/>
      <c r="F586" s="389">
        <v>3.94</v>
      </c>
      <c r="G586" s="390">
        <v>1</v>
      </c>
      <c r="H586" s="389">
        <f t="shared" si="63"/>
        <v>4.7279999999999998</v>
      </c>
      <c r="I586" s="483"/>
      <c r="J586" s="399"/>
      <c r="K586" s="399" t="s">
        <v>3</v>
      </c>
      <c r="L586" s="389">
        <f t="shared" si="66"/>
        <v>4.7279999999999998</v>
      </c>
    </row>
    <row r="587" spans="1:12" ht="13.8" x14ac:dyDescent="0.25">
      <c r="A587" s="218"/>
      <c r="B587" s="522" t="s">
        <v>595</v>
      </c>
      <c r="C587" s="398"/>
      <c r="D587" s="389">
        <v>1.2</v>
      </c>
      <c r="E587" s="389"/>
      <c r="F587" s="389">
        <v>3.94</v>
      </c>
      <c r="G587" s="390">
        <v>1</v>
      </c>
      <c r="H587" s="389">
        <f t="shared" si="63"/>
        <v>4.7279999999999998</v>
      </c>
      <c r="I587" s="483"/>
      <c r="J587" s="399"/>
      <c r="K587" s="399" t="s">
        <v>3</v>
      </c>
      <c r="L587" s="389">
        <f t="shared" si="66"/>
        <v>4.7279999999999998</v>
      </c>
    </row>
    <row r="588" spans="1:12" ht="13.8" x14ac:dyDescent="0.25">
      <c r="A588" s="218"/>
      <c r="B588" s="522" t="s">
        <v>591</v>
      </c>
      <c r="C588" s="398"/>
      <c r="D588" s="389">
        <v>1.75</v>
      </c>
      <c r="E588" s="389"/>
      <c r="F588" s="389">
        <v>3.94</v>
      </c>
      <c r="G588" s="390">
        <v>2</v>
      </c>
      <c r="H588" s="389">
        <f t="shared" si="63"/>
        <v>9.1699999999999982</v>
      </c>
      <c r="I588" s="483">
        <v>4.62</v>
      </c>
      <c r="J588" s="399"/>
      <c r="K588" s="399" t="s">
        <v>3</v>
      </c>
      <c r="L588" s="389">
        <f t="shared" si="66"/>
        <v>9.1699999999999982</v>
      </c>
    </row>
    <row r="589" spans="1:12" ht="13.8" x14ac:dyDescent="0.25">
      <c r="A589" s="218"/>
      <c r="B589" s="522" t="s">
        <v>592</v>
      </c>
      <c r="C589" s="398"/>
      <c r="D589" s="389">
        <v>2.8</v>
      </c>
      <c r="E589" s="389"/>
      <c r="F589" s="389">
        <v>3.94</v>
      </c>
      <c r="G589" s="390">
        <v>1</v>
      </c>
      <c r="H589" s="389">
        <f t="shared" si="63"/>
        <v>11.032</v>
      </c>
      <c r="I589" s="483"/>
      <c r="J589" s="399"/>
      <c r="K589" s="399" t="s">
        <v>3</v>
      </c>
      <c r="L589" s="389">
        <f t="shared" si="66"/>
        <v>11.032</v>
      </c>
    </row>
    <row r="590" spans="1:12" ht="13.8" x14ac:dyDescent="0.25">
      <c r="A590" s="218"/>
      <c r="B590" s="522" t="s">
        <v>600</v>
      </c>
      <c r="C590" s="398"/>
      <c r="D590" s="389">
        <v>8.15</v>
      </c>
      <c r="E590" s="389"/>
      <c r="F590" s="389">
        <v>3.94</v>
      </c>
      <c r="G590" s="390">
        <v>1</v>
      </c>
      <c r="H590" s="389">
        <f t="shared" si="63"/>
        <v>32.111000000000004</v>
      </c>
      <c r="I590" s="483"/>
      <c r="J590" s="399"/>
      <c r="K590" s="399" t="s">
        <v>3</v>
      </c>
      <c r="L590" s="389">
        <f t="shared" si="66"/>
        <v>32.111000000000004</v>
      </c>
    </row>
    <row r="591" spans="1:12" ht="13.8" x14ac:dyDescent="0.25">
      <c r="A591" s="218"/>
      <c r="B591" s="522" t="s">
        <v>610</v>
      </c>
      <c r="C591" s="398"/>
      <c r="D591" s="389">
        <v>6.98</v>
      </c>
      <c r="E591" s="389"/>
      <c r="F591" s="389">
        <v>3.94</v>
      </c>
      <c r="G591" s="390">
        <v>1</v>
      </c>
      <c r="H591" s="389">
        <f t="shared" si="63"/>
        <v>27.501200000000001</v>
      </c>
      <c r="I591" s="483"/>
      <c r="J591" s="399"/>
      <c r="K591" s="399" t="s">
        <v>3</v>
      </c>
      <c r="L591" s="389">
        <f t="shared" si="66"/>
        <v>27.501200000000001</v>
      </c>
    </row>
    <row r="592" spans="1:12" ht="13.8" x14ac:dyDescent="0.25">
      <c r="A592" s="218"/>
      <c r="B592" s="522" t="s">
        <v>603</v>
      </c>
      <c r="C592" s="398"/>
      <c r="D592" s="389">
        <v>4</v>
      </c>
      <c r="E592" s="389"/>
      <c r="F592" s="389">
        <v>3.94</v>
      </c>
      <c r="G592" s="390">
        <v>1</v>
      </c>
      <c r="H592" s="389">
        <f t="shared" si="63"/>
        <v>15.76</v>
      </c>
      <c r="I592" s="483"/>
      <c r="J592" s="399"/>
      <c r="K592" s="399" t="s">
        <v>3</v>
      </c>
      <c r="L592" s="389">
        <f t="shared" si="66"/>
        <v>15.76</v>
      </c>
    </row>
    <row r="593" spans="1:12" ht="13.8" x14ac:dyDescent="0.25">
      <c r="A593" s="218"/>
      <c r="B593" s="522" t="s">
        <v>607</v>
      </c>
      <c r="C593" s="398"/>
      <c r="D593" s="389">
        <v>1.0900000000000001</v>
      </c>
      <c r="E593" s="389"/>
      <c r="F593" s="389">
        <v>3.94</v>
      </c>
      <c r="G593" s="390">
        <v>1</v>
      </c>
      <c r="H593" s="389">
        <f t="shared" si="63"/>
        <v>4.2946</v>
      </c>
      <c r="I593" s="483"/>
      <c r="J593" s="399"/>
      <c r="K593" s="399" t="s">
        <v>3</v>
      </c>
      <c r="L593" s="389">
        <f t="shared" si="66"/>
        <v>4.2946</v>
      </c>
    </row>
    <row r="594" spans="1:12" ht="13.8" x14ac:dyDescent="0.25">
      <c r="A594" s="218"/>
      <c r="B594" s="522" t="s">
        <v>608</v>
      </c>
      <c r="C594" s="398"/>
      <c r="D594" s="389">
        <v>0.66</v>
      </c>
      <c r="E594" s="389"/>
      <c r="F594" s="389">
        <v>3.94</v>
      </c>
      <c r="G594" s="390">
        <v>1</v>
      </c>
      <c r="H594" s="389">
        <f t="shared" si="63"/>
        <v>2.6004</v>
      </c>
      <c r="I594" s="483"/>
      <c r="J594" s="399"/>
      <c r="K594" s="399" t="s">
        <v>3</v>
      </c>
      <c r="L594" s="389">
        <f t="shared" si="66"/>
        <v>2.6004</v>
      </c>
    </row>
    <row r="595" spans="1:12" ht="13.8" x14ac:dyDescent="0.25">
      <c r="A595" s="218"/>
      <c r="B595" s="522" t="s">
        <v>640</v>
      </c>
      <c r="C595" s="398"/>
      <c r="D595" s="389">
        <v>2.56</v>
      </c>
      <c r="E595" s="389"/>
      <c r="F595" s="389">
        <v>3.94</v>
      </c>
      <c r="G595" s="390">
        <v>1</v>
      </c>
      <c r="H595" s="389">
        <f t="shared" si="63"/>
        <v>7.7763999999999989</v>
      </c>
      <c r="I595" s="483">
        <v>2.31</v>
      </c>
      <c r="J595" s="399"/>
      <c r="K595" s="399" t="s">
        <v>3</v>
      </c>
      <c r="L595" s="389">
        <f t="shared" si="66"/>
        <v>7.7763999999999989</v>
      </c>
    </row>
    <row r="596" spans="1:12" ht="13.8" x14ac:dyDescent="0.25">
      <c r="A596" s="218"/>
      <c r="B596" s="522" t="s">
        <v>634</v>
      </c>
      <c r="C596" s="398"/>
      <c r="D596" s="389">
        <v>2.0499999999999998</v>
      </c>
      <c r="E596" s="389"/>
      <c r="F596" s="389">
        <v>3.94</v>
      </c>
      <c r="G596" s="390">
        <v>1</v>
      </c>
      <c r="H596" s="389">
        <f t="shared" si="63"/>
        <v>5.7669999999999995</v>
      </c>
      <c r="I596" s="483">
        <v>2.31</v>
      </c>
      <c r="J596" s="399"/>
      <c r="K596" s="399" t="s">
        <v>3</v>
      </c>
      <c r="L596" s="389">
        <f t="shared" si="66"/>
        <v>5.7669999999999995</v>
      </c>
    </row>
    <row r="597" spans="1:12" ht="13.8" x14ac:dyDescent="0.25">
      <c r="A597" s="218"/>
      <c r="B597" s="522" t="s">
        <v>641</v>
      </c>
      <c r="C597" s="398"/>
      <c r="D597" s="389">
        <v>1.84</v>
      </c>
      <c r="E597" s="389"/>
      <c r="F597" s="389">
        <v>3.94</v>
      </c>
      <c r="G597" s="390">
        <v>1</v>
      </c>
      <c r="H597" s="389">
        <f t="shared" si="63"/>
        <v>4.9396000000000004</v>
      </c>
      <c r="I597" s="483">
        <v>2.31</v>
      </c>
      <c r="J597" s="399"/>
      <c r="K597" s="399" t="s">
        <v>3</v>
      </c>
      <c r="L597" s="389">
        <f t="shared" si="66"/>
        <v>4.9396000000000004</v>
      </c>
    </row>
    <row r="598" spans="1:12" ht="13.8" x14ac:dyDescent="0.25">
      <c r="A598" s="218"/>
      <c r="B598" s="522" t="s">
        <v>632</v>
      </c>
      <c r="C598" s="398"/>
      <c r="D598" s="389">
        <v>2.5</v>
      </c>
      <c r="E598" s="389"/>
      <c r="F598" s="389">
        <v>3.94</v>
      </c>
      <c r="G598" s="390">
        <v>1</v>
      </c>
      <c r="H598" s="389">
        <f t="shared" si="63"/>
        <v>9.85</v>
      </c>
      <c r="I598" s="483"/>
      <c r="J598" s="399"/>
      <c r="K598" s="399" t="s">
        <v>3</v>
      </c>
      <c r="L598" s="389">
        <f t="shared" si="66"/>
        <v>9.85</v>
      </c>
    </row>
    <row r="599" spans="1:12" ht="13.8" x14ac:dyDescent="0.25">
      <c r="A599" s="218"/>
      <c r="B599" s="522" t="s">
        <v>633</v>
      </c>
      <c r="C599" s="398"/>
      <c r="D599" s="389">
        <v>1.84</v>
      </c>
      <c r="E599" s="389"/>
      <c r="F599" s="389">
        <v>3.94</v>
      </c>
      <c r="G599" s="390">
        <v>2</v>
      </c>
      <c r="H599" s="389">
        <f t="shared" si="63"/>
        <v>14.4992</v>
      </c>
      <c r="I599" s="483"/>
      <c r="J599" s="399"/>
      <c r="K599" s="399" t="s">
        <v>3</v>
      </c>
      <c r="L599" s="389">
        <f t="shared" si="66"/>
        <v>14.4992</v>
      </c>
    </row>
    <row r="600" spans="1:12" ht="13.8" x14ac:dyDescent="0.25">
      <c r="A600" s="218"/>
      <c r="B600" s="522" t="s">
        <v>638</v>
      </c>
      <c r="C600" s="398"/>
      <c r="D600" s="389">
        <v>5.58</v>
      </c>
      <c r="E600" s="389"/>
      <c r="F600" s="389">
        <v>3.94</v>
      </c>
      <c r="G600" s="390">
        <v>1</v>
      </c>
      <c r="H600" s="389">
        <f t="shared" si="63"/>
        <v>21.985199999999999</v>
      </c>
      <c r="I600" s="483"/>
      <c r="J600" s="399"/>
      <c r="K600" s="399" t="s">
        <v>3</v>
      </c>
      <c r="L600" s="389">
        <f t="shared" si="66"/>
        <v>21.985199999999999</v>
      </c>
    </row>
    <row r="601" spans="1:12" ht="14.4" x14ac:dyDescent="0.25">
      <c r="A601" s="224"/>
      <c r="B601" s="391" t="s">
        <v>563</v>
      </c>
      <c r="C601" s="205"/>
      <c r="D601" s="392">
        <f>SUM(D548:D600)</f>
        <v>143.80000000000007</v>
      </c>
      <c r="E601" s="401"/>
      <c r="F601" s="393"/>
      <c r="G601" s="394"/>
      <c r="H601" s="395"/>
      <c r="I601" s="395"/>
      <c r="J601" s="395"/>
      <c r="K601" s="396" t="s">
        <v>3</v>
      </c>
      <c r="L601" s="397">
        <f>SUM(L548:L600)</f>
        <v>569.17420000000004</v>
      </c>
    </row>
    <row r="602" spans="1:12" ht="14.4" x14ac:dyDescent="0.25">
      <c r="A602" s="224"/>
      <c r="B602" s="822" t="s">
        <v>1</v>
      </c>
      <c r="C602" s="55" t="s">
        <v>0</v>
      </c>
      <c r="D602" s="52" t="s">
        <v>12</v>
      </c>
      <c r="E602" s="52" t="s">
        <v>4</v>
      </c>
      <c r="F602" s="52" t="s">
        <v>2</v>
      </c>
      <c r="G602" s="52" t="s">
        <v>6</v>
      </c>
      <c r="H602" s="148" t="s">
        <v>5</v>
      </c>
      <c r="I602" s="56" t="s">
        <v>13</v>
      </c>
      <c r="J602" s="148" t="s">
        <v>14</v>
      </c>
      <c r="K602" s="822" t="s">
        <v>7</v>
      </c>
      <c r="L602" s="824" t="s">
        <v>8</v>
      </c>
    </row>
    <row r="603" spans="1:12" ht="14.4" x14ac:dyDescent="0.3">
      <c r="A603" s="224"/>
      <c r="B603" s="823"/>
      <c r="C603" s="80" t="s">
        <v>9</v>
      </c>
      <c r="D603" s="81" t="s">
        <v>10</v>
      </c>
      <c r="E603" s="81" t="s">
        <v>10</v>
      </c>
      <c r="F603" s="81" t="s">
        <v>10</v>
      </c>
      <c r="G603" s="80" t="s">
        <v>9</v>
      </c>
      <c r="H603" s="82" t="s">
        <v>11</v>
      </c>
      <c r="I603" s="113" t="s">
        <v>11</v>
      </c>
      <c r="J603" s="82" t="s">
        <v>15</v>
      </c>
      <c r="K603" s="823"/>
      <c r="L603" s="825"/>
    </row>
    <row r="604" spans="1:12" ht="14.4" x14ac:dyDescent="0.3">
      <c r="A604" s="224"/>
      <c r="B604" s="20" t="s">
        <v>703</v>
      </c>
      <c r="C604" s="381"/>
      <c r="D604" s="382"/>
      <c r="E604" s="382"/>
      <c r="F604" s="382"/>
      <c r="G604" s="381"/>
      <c r="H604" s="383"/>
      <c r="I604" s="384"/>
      <c r="J604" s="383"/>
      <c r="K604" s="383"/>
      <c r="L604" s="7"/>
    </row>
    <row r="605" spans="1:12" ht="14.4" x14ac:dyDescent="0.25">
      <c r="A605" s="218"/>
      <c r="B605" s="522" t="s">
        <v>486</v>
      </c>
      <c r="C605" s="11"/>
      <c r="D605" s="16">
        <v>2.25</v>
      </c>
      <c r="E605" s="479"/>
      <c r="F605" s="16">
        <v>3.94</v>
      </c>
      <c r="G605" s="478">
        <v>2</v>
      </c>
      <c r="H605" s="389">
        <f t="shared" ref="H605:H661" si="67">D605*F605*G605-I605</f>
        <v>17.73</v>
      </c>
      <c r="I605" s="92"/>
      <c r="J605" s="17"/>
      <c r="K605" s="50" t="s">
        <v>3</v>
      </c>
      <c r="L605" s="389">
        <f t="shared" ref="L605:L661" si="68">H605</f>
        <v>17.73</v>
      </c>
    </row>
    <row r="606" spans="1:12" ht="14.4" x14ac:dyDescent="0.25">
      <c r="A606" s="218"/>
      <c r="B606" s="522" t="s">
        <v>487</v>
      </c>
      <c r="C606" s="11"/>
      <c r="D606" s="16">
        <v>2.71</v>
      </c>
      <c r="E606" s="479"/>
      <c r="F606" s="16">
        <v>3.94</v>
      </c>
      <c r="G606" s="478">
        <v>1</v>
      </c>
      <c r="H606" s="389">
        <f t="shared" si="67"/>
        <v>10.6774</v>
      </c>
      <c r="I606" s="92"/>
      <c r="J606" s="17"/>
      <c r="K606" s="50" t="s">
        <v>3</v>
      </c>
      <c r="L606" s="389">
        <f t="shared" si="68"/>
        <v>10.6774</v>
      </c>
    </row>
    <row r="607" spans="1:12" ht="14.4" x14ac:dyDescent="0.25">
      <c r="A607" s="218"/>
      <c r="B607" s="522" t="s">
        <v>488</v>
      </c>
      <c r="C607" s="11"/>
      <c r="D607" s="16">
        <v>1.1000000000000001</v>
      </c>
      <c r="E607" s="479"/>
      <c r="F607" s="16">
        <v>3.94</v>
      </c>
      <c r="G607" s="478">
        <v>1</v>
      </c>
      <c r="H607" s="389">
        <f t="shared" si="67"/>
        <v>4.3340000000000005</v>
      </c>
      <c r="I607" s="92"/>
      <c r="J607" s="17"/>
      <c r="K607" s="50" t="s">
        <v>3</v>
      </c>
      <c r="L607" s="389">
        <f t="shared" si="68"/>
        <v>4.3340000000000005</v>
      </c>
    </row>
    <row r="608" spans="1:12" ht="14.4" x14ac:dyDescent="0.25">
      <c r="A608" s="218"/>
      <c r="B608" s="522" t="s">
        <v>489</v>
      </c>
      <c r="C608" s="11"/>
      <c r="D608" s="16">
        <v>2.83</v>
      </c>
      <c r="E608" s="479"/>
      <c r="F608" s="16">
        <v>3.94</v>
      </c>
      <c r="G608" s="478">
        <v>2</v>
      </c>
      <c r="H608" s="389">
        <f t="shared" si="67"/>
        <v>22.3004</v>
      </c>
      <c r="I608" s="92"/>
      <c r="J608" s="17"/>
      <c r="K608" s="50" t="s">
        <v>3</v>
      </c>
      <c r="L608" s="389">
        <f t="shared" si="68"/>
        <v>22.3004</v>
      </c>
    </row>
    <row r="609" spans="1:12" ht="14.4" x14ac:dyDescent="0.25">
      <c r="A609" s="218"/>
      <c r="B609" s="522" t="s">
        <v>490</v>
      </c>
      <c r="C609" s="11"/>
      <c r="D609" s="16">
        <v>1.6</v>
      </c>
      <c r="E609" s="479"/>
      <c r="F609" s="16">
        <v>3.94</v>
      </c>
      <c r="G609" s="478">
        <v>1</v>
      </c>
      <c r="H609" s="389">
        <f t="shared" si="67"/>
        <v>6.3040000000000003</v>
      </c>
      <c r="I609" s="92"/>
      <c r="J609" s="17"/>
      <c r="K609" s="50" t="s">
        <v>3</v>
      </c>
      <c r="L609" s="389">
        <f t="shared" si="68"/>
        <v>6.3040000000000003</v>
      </c>
    </row>
    <row r="610" spans="1:12" ht="14.4" x14ac:dyDescent="0.25">
      <c r="A610" s="218"/>
      <c r="B610" s="522" t="s">
        <v>495</v>
      </c>
      <c r="C610" s="11"/>
      <c r="D610" s="16">
        <v>2.98</v>
      </c>
      <c r="E610" s="479"/>
      <c r="F610" s="16">
        <v>3.94</v>
      </c>
      <c r="G610" s="478">
        <v>1</v>
      </c>
      <c r="H610" s="389">
        <f t="shared" si="67"/>
        <v>11.741199999999999</v>
      </c>
      <c r="I610" s="92"/>
      <c r="J610" s="17"/>
      <c r="K610" s="50" t="s">
        <v>3</v>
      </c>
      <c r="L610" s="389">
        <f t="shared" si="68"/>
        <v>11.741199999999999</v>
      </c>
    </row>
    <row r="611" spans="1:12" ht="14.4" x14ac:dyDescent="0.25">
      <c r="A611" s="218"/>
      <c r="B611" s="522" t="s">
        <v>496</v>
      </c>
      <c r="C611" s="11"/>
      <c r="D611" s="16">
        <v>1.45</v>
      </c>
      <c r="E611" s="479"/>
      <c r="F611" s="16">
        <v>3.94</v>
      </c>
      <c r="G611" s="478">
        <v>1</v>
      </c>
      <c r="H611" s="389">
        <f t="shared" si="67"/>
        <v>5.7130000000000001</v>
      </c>
      <c r="I611" s="92"/>
      <c r="J611" s="17"/>
      <c r="K611" s="50" t="s">
        <v>3</v>
      </c>
      <c r="L611" s="389">
        <f t="shared" si="68"/>
        <v>5.7130000000000001</v>
      </c>
    </row>
    <row r="612" spans="1:12" ht="14.4" x14ac:dyDescent="0.25">
      <c r="A612" s="218"/>
      <c r="B612" s="522" t="s">
        <v>497</v>
      </c>
      <c r="C612" s="11"/>
      <c r="D612" s="16">
        <v>4.58</v>
      </c>
      <c r="E612" s="479"/>
      <c r="F612" s="16">
        <v>3.94</v>
      </c>
      <c r="G612" s="478">
        <v>1</v>
      </c>
      <c r="H612" s="389">
        <f t="shared" si="67"/>
        <v>18.045200000000001</v>
      </c>
      <c r="I612" s="92"/>
      <c r="J612" s="17"/>
      <c r="K612" s="50" t="s">
        <v>3</v>
      </c>
      <c r="L612" s="389">
        <f t="shared" si="68"/>
        <v>18.045200000000001</v>
      </c>
    </row>
    <row r="613" spans="1:12" ht="14.4" x14ac:dyDescent="0.25">
      <c r="A613" s="218"/>
      <c r="B613" s="522" t="s">
        <v>500</v>
      </c>
      <c r="C613" s="11"/>
      <c r="D613" s="16">
        <v>1.55</v>
      </c>
      <c r="E613" s="479"/>
      <c r="F613" s="16">
        <v>3.94</v>
      </c>
      <c r="G613" s="478">
        <v>1</v>
      </c>
      <c r="H613" s="389">
        <f t="shared" si="67"/>
        <v>6.1070000000000002</v>
      </c>
      <c r="I613" s="92"/>
      <c r="J613" s="17"/>
      <c r="K613" s="50" t="s">
        <v>3</v>
      </c>
      <c r="L613" s="389">
        <f t="shared" si="68"/>
        <v>6.1070000000000002</v>
      </c>
    </row>
    <row r="614" spans="1:12" ht="14.4" x14ac:dyDescent="0.25">
      <c r="A614" s="218"/>
      <c r="B614" s="522" t="s">
        <v>503</v>
      </c>
      <c r="C614" s="11"/>
      <c r="D614" s="16">
        <v>1.85</v>
      </c>
      <c r="E614" s="479"/>
      <c r="F614" s="16">
        <v>3.94</v>
      </c>
      <c r="G614" s="478">
        <v>1</v>
      </c>
      <c r="H614" s="389">
        <f t="shared" si="67"/>
        <v>7.2890000000000006</v>
      </c>
      <c r="I614" s="92"/>
      <c r="J614" s="17"/>
      <c r="K614" s="50" t="s">
        <v>3</v>
      </c>
      <c r="L614" s="389">
        <f t="shared" si="68"/>
        <v>7.2890000000000006</v>
      </c>
    </row>
    <row r="615" spans="1:12" ht="14.4" x14ac:dyDescent="0.25">
      <c r="A615" s="218"/>
      <c r="B615" s="522" t="s">
        <v>504</v>
      </c>
      <c r="C615" s="11"/>
      <c r="D615" s="16">
        <v>2.1</v>
      </c>
      <c r="E615" s="479"/>
      <c r="F615" s="16">
        <v>3.94</v>
      </c>
      <c r="G615" s="478">
        <v>1</v>
      </c>
      <c r="H615" s="389">
        <f t="shared" si="67"/>
        <v>8.2740000000000009</v>
      </c>
      <c r="I615" s="92"/>
      <c r="J615" s="17"/>
      <c r="K615" s="50" t="s">
        <v>3</v>
      </c>
      <c r="L615" s="389">
        <f t="shared" si="68"/>
        <v>8.2740000000000009</v>
      </c>
    </row>
    <row r="616" spans="1:12" ht="14.4" x14ac:dyDescent="0.25">
      <c r="A616" s="218"/>
      <c r="B616" s="522" t="s">
        <v>505</v>
      </c>
      <c r="C616" s="11"/>
      <c r="D616" s="16">
        <v>1.75</v>
      </c>
      <c r="E616" s="479"/>
      <c r="F616" s="16">
        <v>3.94</v>
      </c>
      <c r="G616" s="478">
        <v>1</v>
      </c>
      <c r="H616" s="389">
        <f t="shared" si="67"/>
        <v>6.8949999999999996</v>
      </c>
      <c r="I616" s="92"/>
      <c r="J616" s="17"/>
      <c r="K616" s="50" t="s">
        <v>3</v>
      </c>
      <c r="L616" s="389">
        <f t="shared" si="68"/>
        <v>6.8949999999999996</v>
      </c>
    </row>
    <row r="617" spans="1:12" ht="14.4" x14ac:dyDescent="0.25">
      <c r="A617" s="218"/>
      <c r="B617" s="522" t="s">
        <v>506</v>
      </c>
      <c r="C617" s="11"/>
      <c r="D617" s="16">
        <v>13.65</v>
      </c>
      <c r="E617" s="479"/>
      <c r="F617" s="16">
        <v>3.94</v>
      </c>
      <c r="G617" s="478">
        <v>1</v>
      </c>
      <c r="H617" s="389">
        <f t="shared" si="67"/>
        <v>46.850999999999999</v>
      </c>
      <c r="I617" s="92">
        <v>6.93</v>
      </c>
      <c r="J617" s="17"/>
      <c r="K617" s="50" t="s">
        <v>3</v>
      </c>
      <c r="L617" s="389">
        <f t="shared" si="68"/>
        <v>46.850999999999999</v>
      </c>
    </row>
    <row r="618" spans="1:12" ht="14.4" x14ac:dyDescent="0.25">
      <c r="A618" s="218"/>
      <c r="B618" s="522" t="s">
        <v>507</v>
      </c>
      <c r="C618" s="11"/>
      <c r="D618" s="16">
        <v>3.46</v>
      </c>
      <c r="E618" s="479"/>
      <c r="F618" s="16">
        <v>3.94</v>
      </c>
      <c r="G618" s="478">
        <v>1</v>
      </c>
      <c r="H618" s="389">
        <f t="shared" si="67"/>
        <v>13.632400000000001</v>
      </c>
      <c r="I618" s="92"/>
      <c r="J618" s="17"/>
      <c r="K618" s="50" t="s">
        <v>3</v>
      </c>
      <c r="L618" s="389">
        <f t="shared" si="68"/>
        <v>13.632400000000001</v>
      </c>
    </row>
    <row r="619" spans="1:12" ht="14.4" x14ac:dyDescent="0.25">
      <c r="A619" s="218"/>
      <c r="B619" s="522" t="s">
        <v>508</v>
      </c>
      <c r="C619" s="11"/>
      <c r="D619" s="16">
        <v>2</v>
      </c>
      <c r="E619" s="479"/>
      <c r="F619" s="16">
        <v>3.94</v>
      </c>
      <c r="G619" s="478">
        <v>1</v>
      </c>
      <c r="H619" s="389">
        <f t="shared" si="67"/>
        <v>7.88</v>
      </c>
      <c r="I619" s="92"/>
      <c r="J619" s="17"/>
      <c r="K619" s="50" t="s">
        <v>3</v>
      </c>
      <c r="L619" s="389">
        <f t="shared" si="68"/>
        <v>7.88</v>
      </c>
    </row>
    <row r="620" spans="1:12" ht="14.4" x14ac:dyDescent="0.25">
      <c r="A620" s="218"/>
      <c r="B620" s="522" t="s">
        <v>510</v>
      </c>
      <c r="C620" s="11"/>
      <c r="D620" s="16">
        <v>2.95</v>
      </c>
      <c r="E620" s="479"/>
      <c r="F620" s="16">
        <v>3.94</v>
      </c>
      <c r="G620" s="478">
        <v>1</v>
      </c>
      <c r="H620" s="389">
        <f t="shared" si="67"/>
        <v>11.623000000000001</v>
      </c>
      <c r="I620" s="92"/>
      <c r="J620" s="17"/>
      <c r="K620" s="50" t="s">
        <v>3</v>
      </c>
      <c r="L620" s="389">
        <f t="shared" si="68"/>
        <v>11.623000000000001</v>
      </c>
    </row>
    <row r="621" spans="1:12" ht="14.4" x14ac:dyDescent="0.25">
      <c r="A621" s="218"/>
      <c r="B621" s="522" t="s">
        <v>511</v>
      </c>
      <c r="C621" s="11"/>
      <c r="D621" s="16">
        <v>2.78</v>
      </c>
      <c r="E621" s="479"/>
      <c r="F621" s="16">
        <v>3.94</v>
      </c>
      <c r="G621" s="478">
        <v>1</v>
      </c>
      <c r="H621" s="389">
        <f t="shared" si="67"/>
        <v>10.953199999999999</v>
      </c>
      <c r="I621" s="92"/>
      <c r="J621" s="17"/>
      <c r="K621" s="50" t="s">
        <v>3</v>
      </c>
      <c r="L621" s="389">
        <f t="shared" si="68"/>
        <v>10.953199999999999</v>
      </c>
    </row>
    <row r="622" spans="1:12" ht="14.4" x14ac:dyDescent="0.25">
      <c r="A622" s="218"/>
      <c r="B622" s="522" t="s">
        <v>512</v>
      </c>
      <c r="C622" s="11"/>
      <c r="D622" s="16">
        <v>2.95</v>
      </c>
      <c r="E622" s="479"/>
      <c r="F622" s="16">
        <v>3.94</v>
      </c>
      <c r="G622" s="478">
        <v>1</v>
      </c>
      <c r="H622" s="389">
        <f t="shared" si="67"/>
        <v>11.623000000000001</v>
      </c>
      <c r="I622" s="92"/>
      <c r="J622" s="17"/>
      <c r="K622" s="50" t="s">
        <v>3</v>
      </c>
      <c r="L622" s="389">
        <f t="shared" si="68"/>
        <v>11.623000000000001</v>
      </c>
    </row>
    <row r="623" spans="1:12" ht="14.4" x14ac:dyDescent="0.25">
      <c r="A623" s="218"/>
      <c r="B623" s="522" t="s">
        <v>515</v>
      </c>
      <c r="C623" s="11"/>
      <c r="D623" s="16">
        <v>2.8</v>
      </c>
      <c r="E623" s="479"/>
      <c r="F623" s="16">
        <v>3.94</v>
      </c>
      <c r="G623" s="478">
        <v>5</v>
      </c>
      <c r="H623" s="389">
        <f t="shared" si="67"/>
        <v>55.16</v>
      </c>
      <c r="I623" s="92"/>
      <c r="J623" s="17"/>
      <c r="K623" s="50" t="s">
        <v>3</v>
      </c>
      <c r="L623" s="389">
        <f t="shared" si="68"/>
        <v>55.16</v>
      </c>
    </row>
    <row r="624" spans="1:12" ht="14.4" x14ac:dyDescent="0.25">
      <c r="A624" s="218"/>
      <c r="B624" s="522" t="s">
        <v>517</v>
      </c>
      <c r="C624" s="11"/>
      <c r="D624" s="16">
        <v>10.3</v>
      </c>
      <c r="E624" s="479"/>
      <c r="F624" s="16">
        <v>3.94</v>
      </c>
      <c r="G624" s="478">
        <v>1</v>
      </c>
      <c r="H624" s="389">
        <f t="shared" si="67"/>
        <v>33.652000000000001</v>
      </c>
      <c r="I624" s="92">
        <v>6.93</v>
      </c>
      <c r="J624" s="17"/>
      <c r="K624" s="50" t="s">
        <v>3</v>
      </c>
      <c r="L624" s="389">
        <f t="shared" si="68"/>
        <v>33.652000000000001</v>
      </c>
    </row>
    <row r="625" spans="1:12" ht="14.4" x14ac:dyDescent="0.25">
      <c r="A625" s="218"/>
      <c r="B625" s="522" t="s">
        <v>518</v>
      </c>
      <c r="C625" s="11"/>
      <c r="D625" s="16">
        <v>6.8</v>
      </c>
      <c r="E625" s="479"/>
      <c r="F625" s="16">
        <v>3.94</v>
      </c>
      <c r="G625" s="478">
        <v>1</v>
      </c>
      <c r="H625" s="389">
        <f t="shared" si="67"/>
        <v>26.791999999999998</v>
      </c>
      <c r="I625" s="92"/>
      <c r="J625" s="17"/>
      <c r="K625" s="50" t="s">
        <v>3</v>
      </c>
      <c r="L625" s="389">
        <f t="shared" si="68"/>
        <v>26.791999999999998</v>
      </c>
    </row>
    <row r="626" spans="1:12" ht="14.4" x14ac:dyDescent="0.25">
      <c r="A626" s="218"/>
      <c r="B626" s="522" t="s">
        <v>521</v>
      </c>
      <c r="C626" s="11"/>
      <c r="D626" s="16">
        <v>1.5</v>
      </c>
      <c r="E626" s="479"/>
      <c r="F626" s="16">
        <v>3.94</v>
      </c>
      <c r="G626" s="478">
        <v>1</v>
      </c>
      <c r="H626" s="389">
        <f t="shared" si="67"/>
        <v>5.91</v>
      </c>
      <c r="I626" s="92"/>
      <c r="J626" s="17"/>
      <c r="K626" s="50" t="s">
        <v>3</v>
      </c>
      <c r="L626" s="389">
        <f t="shared" si="68"/>
        <v>5.91</v>
      </c>
    </row>
    <row r="627" spans="1:12" ht="14.4" x14ac:dyDescent="0.25">
      <c r="A627" s="218"/>
      <c r="B627" s="522" t="s">
        <v>522</v>
      </c>
      <c r="C627" s="11"/>
      <c r="D627" s="16">
        <v>4.55</v>
      </c>
      <c r="E627" s="479"/>
      <c r="F627" s="16">
        <v>3.94</v>
      </c>
      <c r="G627" s="478">
        <v>1</v>
      </c>
      <c r="H627" s="389">
        <f t="shared" si="67"/>
        <v>17.927</v>
      </c>
      <c r="I627" s="92"/>
      <c r="J627" s="17"/>
      <c r="K627" s="50" t="s">
        <v>3</v>
      </c>
      <c r="L627" s="389">
        <f t="shared" si="68"/>
        <v>17.927</v>
      </c>
    </row>
    <row r="628" spans="1:12" ht="14.4" x14ac:dyDescent="0.25">
      <c r="A628" s="218"/>
      <c r="B628" s="522" t="s">
        <v>523</v>
      </c>
      <c r="C628" s="11"/>
      <c r="D628" s="16">
        <v>8.5</v>
      </c>
      <c r="E628" s="479"/>
      <c r="F628" s="16">
        <v>3.94</v>
      </c>
      <c r="G628" s="478">
        <v>1</v>
      </c>
      <c r="H628" s="389">
        <f>D628*F628*G628-I628</f>
        <v>33.49</v>
      </c>
      <c r="I628" s="92"/>
      <c r="J628" s="17"/>
      <c r="K628" s="50" t="s">
        <v>3</v>
      </c>
      <c r="L628" s="389">
        <f t="shared" si="68"/>
        <v>33.49</v>
      </c>
    </row>
    <row r="629" spans="1:12" ht="14.4" x14ac:dyDescent="0.25">
      <c r="A629" s="218"/>
      <c r="B629" s="522" t="s">
        <v>527</v>
      </c>
      <c r="C629" s="11"/>
      <c r="D629" s="16">
        <v>2.85</v>
      </c>
      <c r="E629" s="479"/>
      <c r="F629" s="16">
        <v>3.94</v>
      </c>
      <c r="G629" s="478">
        <v>1</v>
      </c>
      <c r="H629" s="389">
        <f>D629*F629*G629-I629</f>
        <v>11.229000000000001</v>
      </c>
      <c r="I629" s="92"/>
      <c r="J629" s="17"/>
      <c r="K629" s="50" t="s">
        <v>3</v>
      </c>
      <c r="L629" s="389">
        <f t="shared" si="68"/>
        <v>11.229000000000001</v>
      </c>
    </row>
    <row r="630" spans="1:12" ht="14.4" x14ac:dyDescent="0.25">
      <c r="A630" s="218"/>
      <c r="B630" s="522" t="s">
        <v>534</v>
      </c>
      <c r="C630" s="11"/>
      <c r="D630" s="16">
        <v>1.3</v>
      </c>
      <c r="E630" s="479"/>
      <c r="F630" s="16">
        <v>3.94</v>
      </c>
      <c r="G630" s="478">
        <v>1</v>
      </c>
      <c r="H630" s="389">
        <f t="shared" si="67"/>
        <v>5.1219999999999999</v>
      </c>
      <c r="I630" s="92"/>
      <c r="J630" s="17"/>
      <c r="K630" s="50" t="s">
        <v>3</v>
      </c>
      <c r="L630" s="389">
        <f t="shared" si="68"/>
        <v>5.1219999999999999</v>
      </c>
    </row>
    <row r="631" spans="1:12" ht="14.4" x14ac:dyDescent="0.25">
      <c r="A631" s="218"/>
      <c r="B631" s="522" t="s">
        <v>535</v>
      </c>
      <c r="C631" s="11"/>
      <c r="D631" s="16">
        <v>0.8</v>
      </c>
      <c r="E631" s="479"/>
      <c r="F631" s="16">
        <v>3.94</v>
      </c>
      <c r="G631" s="478">
        <v>1</v>
      </c>
      <c r="H631" s="389">
        <f t="shared" si="67"/>
        <v>3.1520000000000001</v>
      </c>
      <c r="I631" s="92"/>
      <c r="J631" s="17"/>
      <c r="K631" s="50" t="s">
        <v>3</v>
      </c>
      <c r="L631" s="389">
        <f t="shared" si="68"/>
        <v>3.1520000000000001</v>
      </c>
    </row>
    <row r="632" spans="1:12" ht="14.4" x14ac:dyDescent="0.25">
      <c r="A632" s="218"/>
      <c r="B632" s="522" t="s">
        <v>539</v>
      </c>
      <c r="C632" s="11"/>
      <c r="D632" s="16">
        <v>3.55</v>
      </c>
      <c r="E632" s="479"/>
      <c r="F632" s="16">
        <v>3.94</v>
      </c>
      <c r="G632" s="478">
        <v>1</v>
      </c>
      <c r="H632" s="389">
        <f t="shared" si="67"/>
        <v>13.986999999999998</v>
      </c>
      <c r="I632" s="92"/>
      <c r="J632" s="17"/>
      <c r="K632" s="50" t="s">
        <v>3</v>
      </c>
      <c r="L632" s="389">
        <f t="shared" si="68"/>
        <v>13.986999999999998</v>
      </c>
    </row>
    <row r="633" spans="1:12" ht="14.4" x14ac:dyDescent="0.25">
      <c r="A633" s="218"/>
      <c r="B633" s="522" t="s">
        <v>545</v>
      </c>
      <c r="C633" s="11"/>
      <c r="D633" s="16">
        <v>3.98</v>
      </c>
      <c r="E633" s="479"/>
      <c r="F633" s="16">
        <v>3.94</v>
      </c>
      <c r="G633" s="478">
        <v>1</v>
      </c>
      <c r="H633" s="389">
        <f t="shared" si="67"/>
        <v>15.6812</v>
      </c>
      <c r="I633" s="92"/>
      <c r="J633" s="17"/>
      <c r="K633" s="50" t="s">
        <v>3</v>
      </c>
      <c r="L633" s="389">
        <f t="shared" si="68"/>
        <v>15.6812</v>
      </c>
    </row>
    <row r="634" spans="1:12" ht="14.4" x14ac:dyDescent="0.25">
      <c r="A634" s="218"/>
      <c r="B634" s="522" t="s">
        <v>548</v>
      </c>
      <c r="C634" s="11"/>
      <c r="D634" s="16">
        <v>6.48</v>
      </c>
      <c r="E634" s="479"/>
      <c r="F634" s="16">
        <v>3.94</v>
      </c>
      <c r="G634" s="478">
        <v>1</v>
      </c>
      <c r="H634" s="389">
        <f t="shared" si="67"/>
        <v>25.531200000000002</v>
      </c>
      <c r="I634" s="92"/>
      <c r="J634" s="17"/>
      <c r="K634" s="50" t="s">
        <v>3</v>
      </c>
      <c r="L634" s="389">
        <f t="shared" si="68"/>
        <v>25.531200000000002</v>
      </c>
    </row>
    <row r="635" spans="1:12" ht="14.4" x14ac:dyDescent="0.25">
      <c r="A635" s="218"/>
      <c r="B635" s="522" t="s">
        <v>549</v>
      </c>
      <c r="C635" s="11"/>
      <c r="D635" s="16">
        <v>6.63</v>
      </c>
      <c r="E635" s="479"/>
      <c r="F635" s="16">
        <v>3.94</v>
      </c>
      <c r="G635" s="478">
        <v>1</v>
      </c>
      <c r="H635" s="389">
        <f t="shared" si="67"/>
        <v>26.122199999999999</v>
      </c>
      <c r="I635" s="92"/>
      <c r="J635" s="17"/>
      <c r="K635" s="50" t="s">
        <v>3</v>
      </c>
      <c r="L635" s="389">
        <f t="shared" si="68"/>
        <v>26.122199999999999</v>
      </c>
    </row>
    <row r="636" spans="1:12" ht="14.4" x14ac:dyDescent="0.25">
      <c r="A636" s="218"/>
      <c r="B636" s="522" t="s">
        <v>550</v>
      </c>
      <c r="C636" s="11"/>
      <c r="D636" s="16">
        <v>2.98</v>
      </c>
      <c r="E636" s="479"/>
      <c r="F636" s="16">
        <v>3.94</v>
      </c>
      <c r="G636" s="478">
        <v>1</v>
      </c>
      <c r="H636" s="389">
        <f t="shared" si="67"/>
        <v>11.741199999999999</v>
      </c>
      <c r="I636" s="92"/>
      <c r="J636" s="17"/>
      <c r="K636" s="50" t="s">
        <v>3</v>
      </c>
      <c r="L636" s="389">
        <f t="shared" si="68"/>
        <v>11.741199999999999</v>
      </c>
    </row>
    <row r="637" spans="1:12" ht="14.4" x14ac:dyDescent="0.25">
      <c r="A637" s="218"/>
      <c r="B637" s="522" t="s">
        <v>551</v>
      </c>
      <c r="C637" s="11"/>
      <c r="D637" s="16">
        <v>2.7</v>
      </c>
      <c r="E637" s="479"/>
      <c r="F637" s="16">
        <v>3.94</v>
      </c>
      <c r="G637" s="478">
        <v>1</v>
      </c>
      <c r="H637" s="389">
        <f t="shared" si="67"/>
        <v>10.638</v>
      </c>
      <c r="I637" s="92"/>
      <c r="J637" s="17"/>
      <c r="K637" s="50" t="s">
        <v>3</v>
      </c>
      <c r="L637" s="389">
        <f t="shared" si="68"/>
        <v>10.638</v>
      </c>
    </row>
    <row r="638" spans="1:12" ht="14.4" x14ac:dyDescent="0.25">
      <c r="A638" s="218"/>
      <c r="B638" s="522" t="s">
        <v>552</v>
      </c>
      <c r="C638" s="11"/>
      <c r="D638" s="16">
        <v>2.94</v>
      </c>
      <c r="E638" s="479"/>
      <c r="F638" s="16">
        <v>3.94</v>
      </c>
      <c r="G638" s="478">
        <v>2</v>
      </c>
      <c r="H638" s="389">
        <f t="shared" si="67"/>
        <v>23.167199999999998</v>
      </c>
      <c r="I638" s="92"/>
      <c r="J638" s="17"/>
      <c r="K638" s="50" t="s">
        <v>3</v>
      </c>
      <c r="L638" s="389">
        <f t="shared" si="68"/>
        <v>23.167199999999998</v>
      </c>
    </row>
    <row r="639" spans="1:12" ht="14.4" x14ac:dyDescent="0.25">
      <c r="A639" s="218"/>
      <c r="B639" s="522" t="s">
        <v>554</v>
      </c>
      <c r="C639" s="11"/>
      <c r="D639" s="16">
        <v>2.85</v>
      </c>
      <c r="E639" s="479"/>
      <c r="F639" s="16">
        <v>3.94</v>
      </c>
      <c r="G639" s="478">
        <v>1</v>
      </c>
      <c r="H639" s="389">
        <f t="shared" si="67"/>
        <v>11.229000000000001</v>
      </c>
      <c r="I639" s="92"/>
      <c r="J639" s="17"/>
      <c r="K639" s="50" t="s">
        <v>3</v>
      </c>
      <c r="L639" s="389">
        <f t="shared" si="68"/>
        <v>11.229000000000001</v>
      </c>
    </row>
    <row r="640" spans="1:12" ht="14.4" x14ac:dyDescent="0.25">
      <c r="A640" s="218"/>
      <c r="B640" s="522" t="s">
        <v>556</v>
      </c>
      <c r="C640" s="11"/>
      <c r="D640" s="16">
        <v>2</v>
      </c>
      <c r="E640" s="479"/>
      <c r="F640" s="16">
        <v>3.94</v>
      </c>
      <c r="G640" s="478">
        <v>1</v>
      </c>
      <c r="H640" s="389">
        <f t="shared" si="67"/>
        <v>7.88</v>
      </c>
      <c r="I640" s="92"/>
      <c r="J640" s="17"/>
      <c r="K640" s="50" t="s">
        <v>3</v>
      </c>
      <c r="L640" s="389">
        <f t="shared" si="68"/>
        <v>7.88</v>
      </c>
    </row>
    <row r="641" spans="1:12" ht="14.4" x14ac:dyDescent="0.25">
      <c r="A641" s="218"/>
      <c r="B641" s="522" t="s">
        <v>558</v>
      </c>
      <c r="C641" s="11"/>
      <c r="D641" s="16">
        <v>2.95</v>
      </c>
      <c r="E641" s="479"/>
      <c r="F641" s="16">
        <v>3.94</v>
      </c>
      <c r="G641" s="478">
        <v>1</v>
      </c>
      <c r="H641" s="389">
        <f t="shared" si="67"/>
        <v>11.623000000000001</v>
      </c>
      <c r="I641" s="92"/>
      <c r="J641" s="17"/>
      <c r="K641" s="50" t="s">
        <v>3</v>
      </c>
      <c r="L641" s="389">
        <f t="shared" si="68"/>
        <v>11.623000000000001</v>
      </c>
    </row>
    <row r="642" spans="1:12" ht="14.4" x14ac:dyDescent="0.25">
      <c r="A642" s="218"/>
      <c r="B642" s="522" t="s">
        <v>559</v>
      </c>
      <c r="C642" s="11"/>
      <c r="D642" s="16">
        <v>1.85</v>
      </c>
      <c r="E642" s="479"/>
      <c r="F642" s="16">
        <v>3.94</v>
      </c>
      <c r="G642" s="478">
        <v>1</v>
      </c>
      <c r="H642" s="389">
        <f t="shared" si="67"/>
        <v>7.2890000000000006</v>
      </c>
      <c r="I642" s="92"/>
      <c r="J642" s="17"/>
      <c r="K642" s="50" t="s">
        <v>3</v>
      </c>
      <c r="L642" s="389">
        <f t="shared" si="68"/>
        <v>7.2890000000000006</v>
      </c>
    </row>
    <row r="643" spans="1:12" ht="14.4" x14ac:dyDescent="0.25">
      <c r="A643" s="218"/>
      <c r="B643" s="522" t="s">
        <v>560</v>
      </c>
      <c r="C643" s="11"/>
      <c r="D643" s="16">
        <v>2.7</v>
      </c>
      <c r="E643" s="479"/>
      <c r="F643" s="16">
        <v>3.94</v>
      </c>
      <c r="G643" s="478">
        <v>1</v>
      </c>
      <c r="H643" s="389">
        <f t="shared" si="67"/>
        <v>10.638</v>
      </c>
      <c r="I643" s="92"/>
      <c r="J643" s="17"/>
      <c r="K643" s="50" t="s">
        <v>3</v>
      </c>
      <c r="L643" s="389">
        <f t="shared" si="68"/>
        <v>10.638</v>
      </c>
    </row>
    <row r="644" spans="1:12" ht="14.4" x14ac:dyDescent="0.25">
      <c r="A644" s="218"/>
      <c r="B644" s="522" t="s">
        <v>561</v>
      </c>
      <c r="C644" s="11"/>
      <c r="D644" s="16">
        <v>3.8</v>
      </c>
      <c r="E644" s="479"/>
      <c r="F644" s="16">
        <v>3.94</v>
      </c>
      <c r="G644" s="478">
        <v>1</v>
      </c>
      <c r="H644" s="389">
        <f t="shared" si="67"/>
        <v>14.972</v>
      </c>
      <c r="I644" s="92"/>
      <c r="J644" s="17"/>
      <c r="K644" s="50" t="s">
        <v>3</v>
      </c>
      <c r="L644" s="389">
        <f t="shared" si="68"/>
        <v>14.972</v>
      </c>
    </row>
    <row r="645" spans="1:12" ht="14.4" x14ac:dyDescent="0.25">
      <c r="A645" s="218"/>
      <c r="B645" s="522" t="s">
        <v>569</v>
      </c>
      <c r="C645" s="11"/>
      <c r="D645" s="16">
        <v>1.3</v>
      </c>
      <c r="E645" s="479"/>
      <c r="F645" s="16">
        <v>3.94</v>
      </c>
      <c r="G645" s="478">
        <v>1</v>
      </c>
      <c r="H645" s="389">
        <f t="shared" si="67"/>
        <v>5.1219999999999999</v>
      </c>
      <c r="I645" s="92"/>
      <c r="J645" s="17"/>
      <c r="K645" s="50" t="s">
        <v>3</v>
      </c>
      <c r="L645" s="389">
        <f t="shared" si="68"/>
        <v>5.1219999999999999</v>
      </c>
    </row>
    <row r="646" spans="1:12" ht="14.4" x14ac:dyDescent="0.25">
      <c r="A646" s="218"/>
      <c r="B646" s="522" t="s">
        <v>596</v>
      </c>
      <c r="C646" s="11"/>
      <c r="D646" s="16">
        <v>1.35</v>
      </c>
      <c r="E646" s="479"/>
      <c r="F646" s="16">
        <v>3.94</v>
      </c>
      <c r="G646" s="478">
        <v>1</v>
      </c>
      <c r="H646" s="389">
        <f t="shared" si="67"/>
        <v>5.319</v>
      </c>
      <c r="I646" s="92"/>
      <c r="J646" s="17"/>
      <c r="K646" s="50" t="s">
        <v>3</v>
      </c>
      <c r="L646" s="389">
        <f t="shared" si="68"/>
        <v>5.319</v>
      </c>
    </row>
    <row r="647" spans="1:12" ht="14.4" x14ac:dyDescent="0.25">
      <c r="A647" s="218"/>
      <c r="B647" s="522" t="s">
        <v>597</v>
      </c>
      <c r="C647" s="11"/>
      <c r="D647" s="16">
        <v>3.85</v>
      </c>
      <c r="E647" s="479"/>
      <c r="F647" s="16">
        <v>3.94</v>
      </c>
      <c r="G647" s="478">
        <v>1</v>
      </c>
      <c r="H647" s="389">
        <f t="shared" si="67"/>
        <v>15.169</v>
      </c>
      <c r="I647" s="92"/>
      <c r="J647" s="17"/>
      <c r="K647" s="50" t="s">
        <v>3</v>
      </c>
      <c r="L647" s="389">
        <f t="shared" si="68"/>
        <v>15.169</v>
      </c>
    </row>
    <row r="648" spans="1:12" ht="14.4" x14ac:dyDescent="0.25">
      <c r="A648" s="218"/>
      <c r="B648" s="522" t="s">
        <v>598</v>
      </c>
      <c r="C648" s="11"/>
      <c r="D648" s="16">
        <v>2.8</v>
      </c>
      <c r="E648" s="479"/>
      <c r="F648" s="16">
        <v>3.94</v>
      </c>
      <c r="G648" s="478">
        <v>1</v>
      </c>
      <c r="H648" s="389">
        <f t="shared" si="67"/>
        <v>11.032</v>
      </c>
      <c r="I648" s="92"/>
      <c r="J648" s="17"/>
      <c r="K648" s="50" t="s">
        <v>3</v>
      </c>
      <c r="L648" s="389">
        <f t="shared" si="68"/>
        <v>11.032</v>
      </c>
    </row>
    <row r="649" spans="1:12" ht="14.4" x14ac:dyDescent="0.25">
      <c r="A649" s="218"/>
      <c r="B649" s="522" t="s">
        <v>599</v>
      </c>
      <c r="C649" s="11"/>
      <c r="D649" s="16">
        <v>1.83</v>
      </c>
      <c r="E649" s="479"/>
      <c r="F649" s="16">
        <v>3.94</v>
      </c>
      <c r="G649" s="478">
        <v>1</v>
      </c>
      <c r="H649" s="389">
        <f t="shared" si="67"/>
        <v>7.2102000000000004</v>
      </c>
      <c r="I649" s="92"/>
      <c r="J649" s="17"/>
      <c r="K649" s="50" t="s">
        <v>3</v>
      </c>
      <c r="L649" s="389">
        <f t="shared" si="68"/>
        <v>7.2102000000000004</v>
      </c>
    </row>
    <row r="650" spans="1:12" ht="14.4" x14ac:dyDescent="0.25">
      <c r="A650" s="218"/>
      <c r="B650" s="522" t="s">
        <v>601</v>
      </c>
      <c r="C650" s="11"/>
      <c r="D650" s="16">
        <v>2</v>
      </c>
      <c r="E650" s="479"/>
      <c r="F650" s="16">
        <v>3.94</v>
      </c>
      <c r="G650" s="478">
        <v>1</v>
      </c>
      <c r="H650" s="389">
        <f t="shared" si="67"/>
        <v>7.88</v>
      </c>
      <c r="I650" s="92"/>
      <c r="J650" s="17"/>
      <c r="K650" s="50" t="s">
        <v>3</v>
      </c>
      <c r="L650" s="389">
        <f t="shared" si="68"/>
        <v>7.88</v>
      </c>
    </row>
    <row r="651" spans="1:12" ht="14.4" x14ac:dyDescent="0.25">
      <c r="A651" s="218"/>
      <c r="B651" s="522" t="s">
        <v>602</v>
      </c>
      <c r="C651" s="11"/>
      <c r="D651" s="16">
        <v>2.29</v>
      </c>
      <c r="E651" s="479"/>
      <c r="F651" s="16">
        <v>3.94</v>
      </c>
      <c r="G651" s="478">
        <v>1</v>
      </c>
      <c r="H651" s="389">
        <f t="shared" si="67"/>
        <v>9.0226000000000006</v>
      </c>
      <c r="I651" s="92"/>
      <c r="J651" s="17"/>
      <c r="K651" s="50" t="s">
        <v>3</v>
      </c>
      <c r="L651" s="389">
        <f t="shared" si="68"/>
        <v>9.0226000000000006</v>
      </c>
    </row>
    <row r="652" spans="1:12" ht="14.4" x14ac:dyDescent="0.25">
      <c r="A652" s="218"/>
      <c r="B652" s="522" t="s">
        <v>593</v>
      </c>
      <c r="C652" s="11"/>
      <c r="D652" s="16">
        <v>3.34</v>
      </c>
      <c r="E652" s="479"/>
      <c r="F652" s="16">
        <v>3.94</v>
      </c>
      <c r="G652" s="478">
        <v>1</v>
      </c>
      <c r="H652" s="389">
        <f t="shared" si="67"/>
        <v>13.159599999999999</v>
      </c>
      <c r="I652" s="92"/>
      <c r="J652" s="17"/>
      <c r="K652" s="50" t="s">
        <v>3</v>
      </c>
      <c r="L652" s="389">
        <f t="shared" si="68"/>
        <v>13.159599999999999</v>
      </c>
    </row>
    <row r="653" spans="1:12" ht="14.4" x14ac:dyDescent="0.25">
      <c r="A653" s="218"/>
      <c r="B653" s="522" t="s">
        <v>604</v>
      </c>
      <c r="C653" s="11"/>
      <c r="D653" s="16">
        <v>9.5399999999999991</v>
      </c>
      <c r="E653" s="479"/>
      <c r="F653" s="16">
        <v>3.94</v>
      </c>
      <c r="G653" s="478">
        <v>1</v>
      </c>
      <c r="H653" s="389">
        <f t="shared" si="67"/>
        <v>32.967599999999997</v>
      </c>
      <c r="I653" s="92">
        <v>4.62</v>
      </c>
      <c r="J653" s="17"/>
      <c r="K653" s="50" t="s">
        <v>3</v>
      </c>
      <c r="L653" s="389">
        <f t="shared" si="68"/>
        <v>32.967599999999997</v>
      </c>
    </row>
    <row r="654" spans="1:12" ht="14.4" x14ac:dyDescent="0.25">
      <c r="A654" s="218"/>
      <c r="B654" s="522" t="s">
        <v>594</v>
      </c>
      <c r="C654" s="11"/>
      <c r="D654" s="16">
        <v>2.6</v>
      </c>
      <c r="E654" s="479"/>
      <c r="F654" s="16">
        <v>3.94</v>
      </c>
      <c r="G654" s="478">
        <v>1</v>
      </c>
      <c r="H654" s="389">
        <f t="shared" si="67"/>
        <v>10.244</v>
      </c>
      <c r="I654" s="92"/>
      <c r="J654" s="17"/>
      <c r="K654" s="50" t="s">
        <v>3</v>
      </c>
      <c r="L654" s="389">
        <f t="shared" si="68"/>
        <v>10.244</v>
      </c>
    </row>
    <row r="655" spans="1:12" ht="14.4" x14ac:dyDescent="0.25">
      <c r="A655" s="218"/>
      <c r="B655" s="522" t="s">
        <v>605</v>
      </c>
      <c r="C655" s="11"/>
      <c r="D655" s="16">
        <v>0.56000000000000005</v>
      </c>
      <c r="E655" s="479"/>
      <c r="F655" s="16">
        <v>3.94</v>
      </c>
      <c r="G655" s="478">
        <v>1</v>
      </c>
      <c r="H655" s="389">
        <f t="shared" si="67"/>
        <v>2.2064000000000004</v>
      </c>
      <c r="I655" s="92"/>
      <c r="J655" s="17"/>
      <c r="K655" s="50" t="s">
        <v>3</v>
      </c>
      <c r="L655" s="389">
        <f t="shared" si="68"/>
        <v>2.2064000000000004</v>
      </c>
    </row>
    <row r="656" spans="1:12" ht="14.4" x14ac:dyDescent="0.25">
      <c r="A656" s="218"/>
      <c r="B656" s="522" t="s">
        <v>606</v>
      </c>
      <c r="C656" s="11"/>
      <c r="D656" s="16">
        <v>1</v>
      </c>
      <c r="E656" s="479"/>
      <c r="F656" s="16">
        <v>3.94</v>
      </c>
      <c r="G656" s="478">
        <v>1</v>
      </c>
      <c r="H656" s="389">
        <f t="shared" si="67"/>
        <v>3.94</v>
      </c>
      <c r="I656" s="92"/>
      <c r="J656" s="17"/>
      <c r="K656" s="50" t="s">
        <v>3</v>
      </c>
      <c r="L656" s="389">
        <f t="shared" si="68"/>
        <v>3.94</v>
      </c>
    </row>
    <row r="657" spans="1:12" ht="14.4" x14ac:dyDescent="0.25">
      <c r="A657" s="218"/>
      <c r="B657" s="522" t="s">
        <v>609</v>
      </c>
      <c r="C657" s="11"/>
      <c r="D657" s="16">
        <v>1.73</v>
      </c>
      <c r="E657" s="479"/>
      <c r="F657" s="16">
        <v>3.94</v>
      </c>
      <c r="G657" s="478">
        <v>1</v>
      </c>
      <c r="H657" s="389">
        <f t="shared" si="67"/>
        <v>6.8162000000000003</v>
      </c>
      <c r="I657" s="92"/>
      <c r="J657" s="17"/>
      <c r="K657" s="50" t="s">
        <v>3</v>
      </c>
      <c r="L657" s="389">
        <f t="shared" si="68"/>
        <v>6.8162000000000003</v>
      </c>
    </row>
    <row r="658" spans="1:12" ht="14.4" x14ac:dyDescent="0.25">
      <c r="A658" s="218"/>
      <c r="B658" s="522" t="s">
        <v>635</v>
      </c>
      <c r="C658" s="11"/>
      <c r="D658" s="16">
        <v>1.9</v>
      </c>
      <c r="E658" s="479"/>
      <c r="F658" s="16">
        <v>3.94</v>
      </c>
      <c r="G658" s="478">
        <v>1</v>
      </c>
      <c r="H658" s="389">
        <f t="shared" si="67"/>
        <v>7.4859999999999998</v>
      </c>
      <c r="I658" s="92"/>
      <c r="J658" s="17"/>
      <c r="K658" s="50" t="s">
        <v>3</v>
      </c>
      <c r="L658" s="389">
        <f t="shared" si="68"/>
        <v>7.4859999999999998</v>
      </c>
    </row>
    <row r="659" spans="1:12" ht="14.4" x14ac:dyDescent="0.25">
      <c r="A659" s="218"/>
      <c r="B659" s="522" t="s">
        <v>636</v>
      </c>
      <c r="C659" s="11"/>
      <c r="D659" s="16">
        <v>2.7</v>
      </c>
      <c r="E659" s="479"/>
      <c r="F659" s="16">
        <v>3.94</v>
      </c>
      <c r="G659" s="478">
        <v>1</v>
      </c>
      <c r="H659" s="389">
        <f t="shared" si="67"/>
        <v>10.638</v>
      </c>
      <c r="I659" s="92"/>
      <c r="J659" s="17"/>
      <c r="K659" s="50" t="s">
        <v>3</v>
      </c>
      <c r="L659" s="389">
        <f t="shared" si="68"/>
        <v>10.638</v>
      </c>
    </row>
    <row r="660" spans="1:12" ht="14.4" x14ac:dyDescent="0.25">
      <c r="A660" s="218"/>
      <c r="B660" s="522" t="s">
        <v>637</v>
      </c>
      <c r="C660" s="11"/>
      <c r="D660" s="16">
        <v>3.65</v>
      </c>
      <c r="E660" s="479"/>
      <c r="F660" s="16">
        <v>3.94</v>
      </c>
      <c r="G660" s="478">
        <v>1</v>
      </c>
      <c r="H660" s="389">
        <f t="shared" si="67"/>
        <v>14.381</v>
      </c>
      <c r="I660" s="92"/>
      <c r="J660" s="17"/>
      <c r="K660" s="50" t="s">
        <v>3</v>
      </c>
      <c r="L660" s="389">
        <f t="shared" si="68"/>
        <v>14.381</v>
      </c>
    </row>
    <row r="661" spans="1:12" ht="14.4" x14ac:dyDescent="0.25">
      <c r="A661" s="218"/>
      <c r="B661" s="522" t="s">
        <v>639</v>
      </c>
      <c r="C661" s="11"/>
      <c r="D661" s="16">
        <v>1.55</v>
      </c>
      <c r="E661" s="479"/>
      <c r="F661" s="16">
        <v>3.94</v>
      </c>
      <c r="G661" s="478">
        <v>1</v>
      </c>
      <c r="H661" s="389">
        <f t="shared" si="67"/>
        <v>6.1070000000000002</v>
      </c>
      <c r="I661" s="92"/>
      <c r="J661" s="17"/>
      <c r="K661" s="50" t="s">
        <v>3</v>
      </c>
      <c r="L661" s="389">
        <f t="shared" si="68"/>
        <v>6.1070000000000002</v>
      </c>
    </row>
    <row r="662" spans="1:12" ht="14.4" x14ac:dyDescent="0.25">
      <c r="A662" s="224"/>
      <c r="B662" s="21" t="s">
        <v>563</v>
      </c>
      <c r="C662" s="12"/>
      <c r="D662" s="35">
        <f>SUM(D605:D661)</f>
        <v>183.34</v>
      </c>
      <c r="E662" s="18"/>
      <c r="F662" s="10"/>
      <c r="G662" s="22"/>
      <c r="H662" s="19"/>
      <c r="I662" s="19"/>
      <c r="J662" s="19"/>
      <c r="K662" s="23" t="s">
        <v>3</v>
      </c>
      <c r="L662" s="499">
        <f>SUM(L605:L661)</f>
        <v>779.60640000000001</v>
      </c>
    </row>
    <row r="663" spans="1:12" ht="14.4" x14ac:dyDescent="0.25">
      <c r="A663" s="224"/>
      <c r="B663" s="822" t="s">
        <v>1</v>
      </c>
      <c r="C663" s="55" t="s">
        <v>0</v>
      </c>
      <c r="D663" s="52" t="s">
        <v>12</v>
      </c>
      <c r="E663" s="52" t="s">
        <v>4</v>
      </c>
      <c r="F663" s="52" t="s">
        <v>2</v>
      </c>
      <c r="G663" s="52" t="s">
        <v>6</v>
      </c>
      <c r="H663" s="148" t="s">
        <v>5</v>
      </c>
      <c r="I663" s="56" t="s">
        <v>13</v>
      </c>
      <c r="J663" s="148" t="s">
        <v>14</v>
      </c>
      <c r="K663" s="822" t="s">
        <v>7</v>
      </c>
      <c r="L663" s="824" t="s">
        <v>8</v>
      </c>
    </row>
    <row r="664" spans="1:12" ht="14.4" x14ac:dyDescent="0.3">
      <c r="A664" s="224"/>
      <c r="B664" s="823"/>
      <c r="C664" s="80" t="s">
        <v>9</v>
      </c>
      <c r="D664" s="81" t="s">
        <v>10</v>
      </c>
      <c r="E664" s="81" t="s">
        <v>10</v>
      </c>
      <c r="F664" s="81" t="s">
        <v>10</v>
      </c>
      <c r="G664" s="80" t="s">
        <v>9</v>
      </c>
      <c r="H664" s="82" t="s">
        <v>11</v>
      </c>
      <c r="I664" s="113" t="s">
        <v>11</v>
      </c>
      <c r="J664" s="82" t="s">
        <v>15</v>
      </c>
      <c r="K664" s="823"/>
      <c r="L664" s="825"/>
    </row>
    <row r="665" spans="1:12" ht="14.4" x14ac:dyDescent="0.3">
      <c r="A665" s="224"/>
      <c r="B665" s="20" t="s">
        <v>698</v>
      </c>
      <c r="C665" s="381"/>
      <c r="D665" s="382"/>
      <c r="E665" s="382"/>
      <c r="F665" s="382"/>
      <c r="G665" s="381"/>
      <c r="H665" s="383"/>
      <c r="I665" s="384"/>
      <c r="J665" s="383"/>
      <c r="K665" s="383"/>
      <c r="L665" s="7"/>
    </row>
    <row r="666" spans="1:12" ht="13.8" x14ac:dyDescent="0.25">
      <c r="A666" s="218"/>
      <c r="B666" s="522" t="s">
        <v>483</v>
      </c>
      <c r="C666" s="398"/>
      <c r="D666" s="389">
        <v>5.5</v>
      </c>
      <c r="E666" s="389"/>
      <c r="F666" s="389">
        <v>3.94</v>
      </c>
      <c r="G666" s="390">
        <v>1</v>
      </c>
      <c r="H666" s="389">
        <f t="shared" ref="H666:H673" si="69">D666*F666*G666-I666</f>
        <v>21.669999999999998</v>
      </c>
      <c r="I666" s="481"/>
      <c r="J666" s="399"/>
      <c r="K666" s="399" t="s">
        <v>3</v>
      </c>
      <c r="L666" s="389">
        <f t="shared" ref="L666:L673" si="70">H666</f>
        <v>21.669999999999998</v>
      </c>
    </row>
    <row r="667" spans="1:12" ht="13.8" x14ac:dyDescent="0.25">
      <c r="A667" s="218"/>
      <c r="B667" s="522" t="s">
        <v>484</v>
      </c>
      <c r="C667" s="398"/>
      <c r="D667" s="389">
        <v>2.56</v>
      </c>
      <c r="E667" s="389"/>
      <c r="F667" s="389">
        <v>3.94</v>
      </c>
      <c r="G667" s="390">
        <v>1</v>
      </c>
      <c r="H667" s="389">
        <f t="shared" si="69"/>
        <v>10.086399999999999</v>
      </c>
      <c r="I667" s="481"/>
      <c r="J667" s="399"/>
      <c r="K667" s="399" t="s">
        <v>3</v>
      </c>
      <c r="L667" s="389">
        <f t="shared" si="70"/>
        <v>10.086399999999999</v>
      </c>
    </row>
    <row r="668" spans="1:12" ht="13.8" x14ac:dyDescent="0.25">
      <c r="A668" s="218"/>
      <c r="B668" s="522" t="s">
        <v>513</v>
      </c>
      <c r="C668" s="398"/>
      <c r="D668" s="389">
        <v>0.6</v>
      </c>
      <c r="E668" s="389"/>
      <c r="F668" s="389">
        <v>1</v>
      </c>
      <c r="G668" s="390">
        <v>1</v>
      </c>
      <c r="H668" s="389">
        <f t="shared" si="69"/>
        <v>0.6</v>
      </c>
      <c r="I668" s="481"/>
      <c r="J668" s="399"/>
      <c r="K668" s="399" t="s">
        <v>3</v>
      </c>
      <c r="L668" s="389">
        <f t="shared" si="70"/>
        <v>0.6</v>
      </c>
    </row>
    <row r="669" spans="1:12" ht="13.8" x14ac:dyDescent="0.25">
      <c r="A669" s="218"/>
      <c r="B669" s="522" t="s">
        <v>514</v>
      </c>
      <c r="C669" s="398"/>
      <c r="D669" s="389">
        <v>3.34</v>
      </c>
      <c r="E669" s="389"/>
      <c r="F669" s="389">
        <v>1</v>
      </c>
      <c r="G669" s="390">
        <v>1</v>
      </c>
      <c r="H669" s="389">
        <f t="shared" si="69"/>
        <v>3.34</v>
      </c>
      <c r="I669" s="481"/>
      <c r="J669" s="399"/>
      <c r="K669" s="399" t="s">
        <v>3</v>
      </c>
      <c r="L669" s="389">
        <f t="shared" si="70"/>
        <v>3.34</v>
      </c>
    </row>
    <row r="670" spans="1:12" ht="13.8" x14ac:dyDescent="0.25">
      <c r="A670" s="218"/>
      <c r="B670" s="522" t="s">
        <v>520</v>
      </c>
      <c r="C670" s="398"/>
      <c r="D670" s="389">
        <v>2.54</v>
      </c>
      <c r="E670" s="389"/>
      <c r="F670" s="389">
        <v>1</v>
      </c>
      <c r="G670" s="390">
        <v>1</v>
      </c>
      <c r="H670" s="389">
        <f t="shared" si="69"/>
        <v>2.54</v>
      </c>
      <c r="I670" s="481"/>
      <c r="J670" s="399"/>
      <c r="K670" s="399" t="s">
        <v>3</v>
      </c>
      <c r="L670" s="389">
        <f t="shared" si="70"/>
        <v>2.54</v>
      </c>
    </row>
    <row r="671" spans="1:12" ht="13.8" x14ac:dyDescent="0.25">
      <c r="A671" s="218"/>
      <c r="B671" s="522" t="s">
        <v>529</v>
      </c>
      <c r="C671" s="398"/>
      <c r="D671" s="389">
        <v>3.45</v>
      </c>
      <c r="E671" s="389"/>
      <c r="F671" s="389">
        <v>1</v>
      </c>
      <c r="G671" s="390">
        <v>1</v>
      </c>
      <c r="H671" s="389">
        <f t="shared" si="69"/>
        <v>3.45</v>
      </c>
      <c r="I671" s="481"/>
      <c r="J671" s="399"/>
      <c r="K671" s="399" t="s">
        <v>3</v>
      </c>
      <c r="L671" s="389">
        <f t="shared" si="70"/>
        <v>3.45</v>
      </c>
    </row>
    <row r="672" spans="1:12" ht="13.8" x14ac:dyDescent="0.25">
      <c r="A672" s="218"/>
      <c r="B672" s="522" t="s">
        <v>543</v>
      </c>
      <c r="C672" s="398"/>
      <c r="D672" s="389">
        <v>0.6</v>
      </c>
      <c r="E672" s="389"/>
      <c r="F672" s="389">
        <v>1</v>
      </c>
      <c r="G672" s="390">
        <v>1</v>
      </c>
      <c r="H672" s="389">
        <f t="shared" si="69"/>
        <v>0.6</v>
      </c>
      <c r="I672" s="481"/>
      <c r="J672" s="399"/>
      <c r="K672" s="399" t="s">
        <v>3</v>
      </c>
      <c r="L672" s="389">
        <f t="shared" si="70"/>
        <v>0.6</v>
      </c>
    </row>
    <row r="673" spans="1:12" ht="13.8" x14ac:dyDescent="0.25">
      <c r="A673" s="218"/>
      <c r="B673" s="522" t="s">
        <v>631</v>
      </c>
      <c r="C673" s="398"/>
      <c r="D673" s="389">
        <v>0.99</v>
      </c>
      <c r="E673" s="389"/>
      <c r="F673" s="389">
        <v>3.94</v>
      </c>
      <c r="G673" s="390">
        <v>1</v>
      </c>
      <c r="H673" s="389">
        <f t="shared" si="69"/>
        <v>3.9005999999999998</v>
      </c>
      <c r="I673" s="481"/>
      <c r="J673" s="399"/>
      <c r="K673" s="399" t="s">
        <v>3</v>
      </c>
      <c r="L673" s="389">
        <f t="shared" si="70"/>
        <v>3.9005999999999998</v>
      </c>
    </row>
    <row r="674" spans="1:12" ht="14.4" x14ac:dyDescent="0.25">
      <c r="A674" s="224"/>
      <c r="B674" s="21" t="s">
        <v>563</v>
      </c>
      <c r="C674" s="12"/>
      <c r="D674" s="35">
        <f>SUM(D666:D673)</f>
        <v>19.579999999999998</v>
      </c>
      <c r="E674" s="459"/>
      <c r="F674" s="10"/>
      <c r="G674" s="22"/>
      <c r="H674" s="19"/>
      <c r="I674" s="19"/>
      <c r="J674" s="19"/>
      <c r="K674" s="23" t="s">
        <v>3</v>
      </c>
      <c r="L674" s="13">
        <f>SUM(L666:L673)</f>
        <v>46.186999999999998</v>
      </c>
    </row>
    <row r="675" spans="1:12" ht="14.4" x14ac:dyDescent="0.3">
      <c r="A675" s="224"/>
      <c r="B675" s="24" t="s">
        <v>702</v>
      </c>
      <c r="C675" s="114"/>
      <c r="D675" s="115"/>
      <c r="E675" s="115"/>
      <c r="F675" s="115"/>
      <c r="G675" s="114"/>
      <c r="H675" s="116"/>
      <c r="I675" s="117"/>
      <c r="J675" s="116"/>
      <c r="K675" s="116"/>
      <c r="L675" s="118"/>
    </row>
    <row r="676" spans="1:12" ht="14.4" x14ac:dyDescent="0.25">
      <c r="A676" s="224"/>
      <c r="B676" s="217" t="s">
        <v>553</v>
      </c>
      <c r="C676" s="398"/>
      <c r="D676" s="389">
        <v>2.8</v>
      </c>
      <c r="E676" s="389"/>
      <c r="F676" s="389">
        <v>3.94</v>
      </c>
      <c r="G676" s="390">
        <v>2</v>
      </c>
      <c r="H676" s="389">
        <f t="shared" ref="H676:H677" si="71">D676*F676*G676-I676</f>
        <v>22.064</v>
      </c>
      <c r="I676" s="481"/>
      <c r="J676" s="399"/>
      <c r="K676" s="399" t="s">
        <v>3</v>
      </c>
      <c r="L676" s="389">
        <f>H676</f>
        <v>22.064</v>
      </c>
    </row>
    <row r="677" spans="1:12" ht="14.4" x14ac:dyDescent="0.25">
      <c r="A677" s="224"/>
      <c r="B677" s="217" t="s">
        <v>642</v>
      </c>
      <c r="C677" s="398"/>
      <c r="D677" s="389">
        <v>0.52</v>
      </c>
      <c r="E677" s="389"/>
      <c r="F677" s="389">
        <v>3.94</v>
      </c>
      <c r="G677" s="390">
        <v>5</v>
      </c>
      <c r="H677" s="389">
        <f t="shared" si="71"/>
        <v>10.244</v>
      </c>
      <c r="I677" s="481"/>
      <c r="J677" s="399"/>
      <c r="K677" s="399" t="s">
        <v>3</v>
      </c>
      <c r="L677" s="389">
        <f t="shared" ref="L677" si="72">H677</f>
        <v>10.244</v>
      </c>
    </row>
    <row r="678" spans="1:12" ht="14.4" x14ac:dyDescent="0.25">
      <c r="A678" s="224"/>
      <c r="B678" s="21" t="s">
        <v>684</v>
      </c>
      <c r="C678" s="12"/>
      <c r="D678" s="35">
        <f>SUM(D676:D677)</f>
        <v>3.32</v>
      </c>
      <c r="E678" s="459"/>
      <c r="F678" s="10"/>
      <c r="G678" s="22"/>
      <c r="H678" s="19"/>
      <c r="I678" s="19"/>
      <c r="J678" s="19"/>
      <c r="K678" s="23" t="s">
        <v>3</v>
      </c>
      <c r="L678" s="13">
        <f>SUM(L676:L677)</f>
        <v>32.308</v>
      </c>
    </row>
    <row r="679" spans="1:12" ht="14.4" x14ac:dyDescent="0.3">
      <c r="A679" s="224"/>
      <c r="B679" s="24" t="s">
        <v>700</v>
      </c>
      <c r="C679" s="114"/>
      <c r="D679" s="115"/>
      <c r="E679" s="115"/>
      <c r="F679" s="115"/>
      <c r="G679" s="114"/>
      <c r="H679" s="116"/>
      <c r="I679" s="117"/>
      <c r="J679" s="116"/>
      <c r="K679" s="116"/>
      <c r="L679" s="118"/>
    </row>
    <row r="680" spans="1:12" ht="14.4" x14ac:dyDescent="0.25">
      <c r="A680" s="218"/>
      <c r="B680" s="217" t="s">
        <v>630</v>
      </c>
      <c r="C680" s="398"/>
      <c r="D680" s="389">
        <v>2.29</v>
      </c>
      <c r="E680" s="389"/>
      <c r="F680" s="389">
        <v>3.94</v>
      </c>
      <c r="G680" s="390">
        <v>1</v>
      </c>
      <c r="H680" s="389">
        <f t="shared" ref="H680:H681" si="73">D680*F680*G680-I680</f>
        <v>9.0226000000000006</v>
      </c>
      <c r="I680" s="481"/>
      <c r="J680" s="399"/>
      <c r="K680" s="399" t="s">
        <v>3</v>
      </c>
      <c r="L680" s="389">
        <f t="shared" ref="L680:L681" si="74">H680</f>
        <v>9.0226000000000006</v>
      </c>
    </row>
    <row r="681" spans="1:12" ht="14.4" x14ac:dyDescent="0.25">
      <c r="A681" s="224"/>
      <c r="B681" s="217" t="s">
        <v>643</v>
      </c>
      <c r="C681" s="398"/>
      <c r="D681" s="389">
        <v>0.9</v>
      </c>
      <c r="E681" s="389"/>
      <c r="F681" s="389">
        <v>3.94</v>
      </c>
      <c r="G681" s="390">
        <v>3</v>
      </c>
      <c r="H681" s="389">
        <f t="shared" si="73"/>
        <v>10.638</v>
      </c>
      <c r="I681" s="481"/>
      <c r="J681" s="399"/>
      <c r="K681" s="399" t="s">
        <v>3</v>
      </c>
      <c r="L681" s="389">
        <f t="shared" si="74"/>
        <v>10.638</v>
      </c>
    </row>
    <row r="682" spans="1:12" ht="14.4" x14ac:dyDescent="0.25">
      <c r="A682" s="224"/>
      <c r="B682" s="21" t="s">
        <v>564</v>
      </c>
      <c r="C682" s="12"/>
      <c r="D682" s="35">
        <f>SUM(D680:D681)</f>
        <v>3.19</v>
      </c>
      <c r="E682" s="459"/>
      <c r="F682" s="10"/>
      <c r="G682" s="22"/>
      <c r="H682" s="19"/>
      <c r="I682" s="19"/>
      <c r="J682" s="19"/>
      <c r="K682" s="23" t="s">
        <v>3</v>
      </c>
      <c r="L682" s="13">
        <f>SUM(L680:L681)</f>
        <v>19.660600000000002</v>
      </c>
    </row>
    <row r="683" spans="1:12" ht="15.6" x14ac:dyDescent="0.25">
      <c r="A683" s="224"/>
      <c r="B683" s="545" t="s">
        <v>645</v>
      </c>
      <c r="C683" s="546"/>
      <c r="D683" s="547"/>
      <c r="E683" s="547"/>
      <c r="F683" s="547"/>
      <c r="G683" s="546"/>
      <c r="H683" s="548"/>
      <c r="I683" s="549"/>
      <c r="J683" s="548"/>
      <c r="K683" s="548"/>
      <c r="L683" s="550"/>
    </row>
    <row r="684" spans="1:12" ht="15.6" x14ac:dyDescent="0.25">
      <c r="A684" s="224"/>
      <c r="B684" s="59" t="s">
        <v>61</v>
      </c>
      <c r="C684" s="119"/>
      <c r="D684" s="120"/>
      <c r="E684" s="119"/>
      <c r="F684" s="121"/>
      <c r="G684" s="122"/>
      <c r="H684" s="123"/>
      <c r="I684" s="123"/>
      <c r="J684" s="123"/>
      <c r="K684" s="124"/>
      <c r="L684" s="125"/>
    </row>
    <row r="685" spans="1:12" ht="14.4" x14ac:dyDescent="0.25">
      <c r="A685" s="224"/>
      <c r="B685" s="822" t="s">
        <v>1</v>
      </c>
      <c r="C685" s="55" t="s">
        <v>0</v>
      </c>
      <c r="D685" s="52" t="s">
        <v>12</v>
      </c>
      <c r="E685" s="52" t="s">
        <v>4</v>
      </c>
      <c r="F685" s="52" t="s">
        <v>2</v>
      </c>
      <c r="G685" s="52" t="s">
        <v>6</v>
      </c>
      <c r="H685" s="148" t="s">
        <v>5</v>
      </c>
      <c r="I685" s="56" t="s">
        <v>13</v>
      </c>
      <c r="J685" s="148" t="s">
        <v>14</v>
      </c>
      <c r="K685" s="822" t="s">
        <v>7</v>
      </c>
      <c r="L685" s="824" t="s">
        <v>8</v>
      </c>
    </row>
    <row r="686" spans="1:12" ht="14.4" x14ac:dyDescent="0.3">
      <c r="A686" s="224"/>
      <c r="B686" s="823"/>
      <c r="C686" s="80" t="s">
        <v>9</v>
      </c>
      <c r="D686" s="81" t="s">
        <v>10</v>
      </c>
      <c r="E686" s="81" t="s">
        <v>10</v>
      </c>
      <c r="F686" s="81" t="s">
        <v>10</v>
      </c>
      <c r="G686" s="80" t="s">
        <v>9</v>
      </c>
      <c r="H686" s="82" t="s">
        <v>11</v>
      </c>
      <c r="I686" s="113" t="s">
        <v>11</v>
      </c>
      <c r="J686" s="82" t="s">
        <v>15</v>
      </c>
      <c r="K686" s="823"/>
      <c r="L686" s="825"/>
    </row>
    <row r="687" spans="1:12" ht="14.4" x14ac:dyDescent="0.3">
      <c r="A687" s="224"/>
      <c r="B687" s="20" t="s">
        <v>687</v>
      </c>
      <c r="C687" s="381"/>
      <c r="D687" s="382"/>
      <c r="E687" s="382"/>
      <c r="F687" s="382"/>
      <c r="G687" s="381"/>
      <c r="H687" s="383"/>
      <c r="I687" s="384"/>
      <c r="J687" s="383"/>
      <c r="K687" s="383"/>
      <c r="L687" s="7"/>
    </row>
    <row r="688" spans="1:12" ht="14.4" x14ac:dyDescent="0.25">
      <c r="A688" s="224"/>
      <c r="B688" s="217" t="s">
        <v>53</v>
      </c>
      <c r="C688" s="398"/>
      <c r="D688" s="389">
        <v>43.85</v>
      </c>
      <c r="E688" s="389"/>
      <c r="F688" s="389">
        <v>3.94</v>
      </c>
      <c r="G688" s="390">
        <v>1</v>
      </c>
      <c r="H688" s="389">
        <f t="shared" ref="H688" si="75">D688*F688*G688-I688</f>
        <v>172.76900000000001</v>
      </c>
      <c r="I688" s="481"/>
      <c r="J688" s="399"/>
      <c r="K688" s="399" t="s">
        <v>3</v>
      </c>
      <c r="L688" s="483">
        <f>H688</f>
        <v>172.76900000000001</v>
      </c>
    </row>
    <row r="689" spans="1:12" ht="14.4" x14ac:dyDescent="0.25">
      <c r="A689" s="224"/>
      <c r="B689" s="217"/>
      <c r="C689" s="398"/>
      <c r="D689" s="389"/>
      <c r="E689" s="389"/>
      <c r="F689" s="389"/>
      <c r="G689" s="390"/>
      <c r="H689" s="389"/>
      <c r="I689" s="481"/>
      <c r="J689" s="399"/>
      <c r="K689" s="399"/>
      <c r="L689" s="389"/>
    </row>
    <row r="690" spans="1:12" ht="14.4" x14ac:dyDescent="0.25">
      <c r="A690" s="224"/>
      <c r="B690" s="21" t="s">
        <v>564</v>
      </c>
      <c r="C690" s="12"/>
      <c r="D690" s="35">
        <f>SUM(D688:D689)</f>
        <v>43.85</v>
      </c>
      <c r="E690" s="459"/>
      <c r="F690" s="10"/>
      <c r="G690" s="22"/>
      <c r="H690" s="19"/>
      <c r="I690" s="19"/>
      <c r="J690" s="19"/>
      <c r="K690" s="23" t="s">
        <v>3</v>
      </c>
      <c r="L690" s="13">
        <f>SUM(L688:L689)</f>
        <v>172.76900000000001</v>
      </c>
    </row>
    <row r="691" spans="1:12" ht="15.6" x14ac:dyDescent="0.25">
      <c r="B691" s="539" t="s">
        <v>644</v>
      </c>
      <c r="C691" s="540"/>
      <c r="D691" s="541"/>
      <c r="E691" s="541"/>
      <c r="F691" s="541"/>
      <c r="G691" s="540"/>
      <c r="H691" s="542"/>
      <c r="I691" s="543"/>
      <c r="J691" s="542"/>
      <c r="K691" s="542"/>
      <c r="L691" s="544"/>
    </row>
    <row r="692" spans="1:12" ht="15.6" x14ac:dyDescent="0.25">
      <c r="B692" s="59" t="s">
        <v>62</v>
      </c>
      <c r="C692" s="119"/>
      <c r="D692" s="120"/>
      <c r="E692" s="119"/>
      <c r="F692" s="121"/>
      <c r="G692" s="122"/>
      <c r="H692" s="123"/>
      <c r="I692" s="123"/>
      <c r="J692" s="123"/>
      <c r="K692" s="124"/>
      <c r="L692" s="125"/>
    </row>
    <row r="693" spans="1:12" ht="14.4" customHeight="1" x14ac:dyDescent="0.25">
      <c r="B693" s="822" t="s">
        <v>1</v>
      </c>
      <c r="C693" s="55" t="s">
        <v>0</v>
      </c>
      <c r="D693" s="52" t="s">
        <v>12</v>
      </c>
      <c r="E693" s="52" t="s">
        <v>4</v>
      </c>
      <c r="F693" s="52" t="s">
        <v>2</v>
      </c>
      <c r="G693" s="52" t="s">
        <v>6</v>
      </c>
      <c r="H693" s="148" t="s">
        <v>5</v>
      </c>
      <c r="I693" s="56" t="s">
        <v>13</v>
      </c>
      <c r="J693" s="148" t="s">
        <v>14</v>
      </c>
      <c r="K693" s="822" t="s">
        <v>7</v>
      </c>
      <c r="L693" s="824" t="s">
        <v>8</v>
      </c>
    </row>
    <row r="694" spans="1:12" ht="14.4" x14ac:dyDescent="0.3">
      <c r="B694" s="823"/>
      <c r="C694" s="80" t="s">
        <v>9</v>
      </c>
      <c r="D694" s="81" t="s">
        <v>10</v>
      </c>
      <c r="E694" s="81" t="s">
        <v>10</v>
      </c>
      <c r="F694" s="81" t="s">
        <v>10</v>
      </c>
      <c r="G694" s="80" t="s">
        <v>9</v>
      </c>
      <c r="H694" s="82" t="s">
        <v>11</v>
      </c>
      <c r="I694" s="113" t="s">
        <v>11</v>
      </c>
      <c r="J694" s="82" t="s">
        <v>15</v>
      </c>
      <c r="K694" s="823"/>
      <c r="L694" s="825"/>
    </row>
    <row r="695" spans="1:12" ht="14.4" x14ac:dyDescent="0.3">
      <c r="B695" s="20" t="s">
        <v>699</v>
      </c>
      <c r="C695" s="381"/>
      <c r="D695" s="382"/>
      <c r="E695" s="382"/>
      <c r="F695" s="382"/>
      <c r="G695" s="381"/>
      <c r="H695" s="383"/>
      <c r="I695" s="384"/>
      <c r="J695" s="383"/>
      <c r="K695" s="383"/>
      <c r="L695" s="7"/>
    </row>
    <row r="696" spans="1:12" ht="14.4" x14ac:dyDescent="0.25">
      <c r="B696" s="217" t="s">
        <v>53</v>
      </c>
      <c r="C696" s="398"/>
      <c r="D696" s="389">
        <v>0.42</v>
      </c>
      <c r="E696" s="389"/>
      <c r="F696" s="389">
        <v>3.94</v>
      </c>
      <c r="G696" s="390">
        <v>1</v>
      </c>
      <c r="H696" s="389">
        <f t="shared" ref="H696:H742" si="76">D696*F696*G696-I696</f>
        <v>1.6547999999999998</v>
      </c>
      <c r="I696" s="483"/>
      <c r="J696" s="399"/>
      <c r="K696" s="399" t="s">
        <v>3</v>
      </c>
      <c r="L696" s="389">
        <f>H696</f>
        <v>1.6547999999999998</v>
      </c>
    </row>
    <row r="697" spans="1:12" ht="14.4" x14ac:dyDescent="0.3">
      <c r="B697" s="217" t="s">
        <v>475</v>
      </c>
      <c r="C697" s="385"/>
      <c r="D697" s="386">
        <v>1.48</v>
      </c>
      <c r="E697" s="386"/>
      <c r="F697" s="386">
        <v>3.94</v>
      </c>
      <c r="G697" s="390">
        <v>1</v>
      </c>
      <c r="H697" s="389">
        <f t="shared" ref="H697" si="77">D697*F697*G697-I697</f>
        <v>1.9811999999999999</v>
      </c>
      <c r="I697" s="386">
        <v>3.85</v>
      </c>
      <c r="J697" s="387"/>
      <c r="K697" s="387" t="s">
        <v>3</v>
      </c>
      <c r="L697" s="389">
        <f t="shared" ref="L697" si="78">H697</f>
        <v>1.9811999999999999</v>
      </c>
    </row>
    <row r="698" spans="1:12" ht="14.4" x14ac:dyDescent="0.25">
      <c r="B698" s="217" t="s">
        <v>476</v>
      </c>
      <c r="C698" s="398"/>
      <c r="D698" s="389">
        <v>1.06</v>
      </c>
      <c r="E698" s="389"/>
      <c r="F698" s="389">
        <v>3.94</v>
      </c>
      <c r="G698" s="390">
        <v>1</v>
      </c>
      <c r="H698" s="389">
        <f t="shared" si="76"/>
        <v>4.1764000000000001</v>
      </c>
      <c r="I698" s="483"/>
      <c r="J698" s="399"/>
      <c r="K698" s="399" t="s">
        <v>3</v>
      </c>
      <c r="L698" s="389">
        <f t="shared" ref="L698:L742" si="79">H698</f>
        <v>4.1764000000000001</v>
      </c>
    </row>
    <row r="699" spans="1:12" ht="14.4" x14ac:dyDescent="0.25">
      <c r="B699" s="217" t="s">
        <v>477</v>
      </c>
      <c r="C699" s="398"/>
      <c r="D699" s="389">
        <v>2.3199999999999998</v>
      </c>
      <c r="E699" s="389"/>
      <c r="F699" s="389">
        <v>3.94</v>
      </c>
      <c r="G699" s="390">
        <v>1</v>
      </c>
      <c r="H699" s="389">
        <f t="shared" si="76"/>
        <v>9.1407999999999987</v>
      </c>
      <c r="I699" s="483"/>
      <c r="J699" s="399"/>
      <c r="K699" s="399" t="s">
        <v>3</v>
      </c>
      <c r="L699" s="389">
        <f t="shared" si="79"/>
        <v>9.1407999999999987</v>
      </c>
    </row>
    <row r="700" spans="1:12" ht="14.4" x14ac:dyDescent="0.25">
      <c r="B700" s="217" t="s">
        <v>478</v>
      </c>
      <c r="C700" s="398"/>
      <c r="D700" s="389">
        <v>0.9</v>
      </c>
      <c r="E700" s="389"/>
      <c r="F700" s="389">
        <v>3.94</v>
      </c>
      <c r="G700" s="390">
        <v>1</v>
      </c>
      <c r="H700" s="389">
        <f t="shared" si="76"/>
        <v>3.5459999999999998</v>
      </c>
      <c r="I700" s="483"/>
      <c r="J700" s="399"/>
      <c r="K700" s="399" t="s">
        <v>3</v>
      </c>
      <c r="L700" s="389">
        <f t="shared" si="79"/>
        <v>3.5459999999999998</v>
      </c>
    </row>
    <row r="701" spans="1:12" ht="14.4" x14ac:dyDescent="0.25">
      <c r="B701" s="217" t="s">
        <v>479</v>
      </c>
      <c r="C701" s="398"/>
      <c r="D701" s="389">
        <v>2.85</v>
      </c>
      <c r="E701" s="389"/>
      <c r="F701" s="389">
        <v>3.94</v>
      </c>
      <c r="G701" s="390">
        <v>1</v>
      </c>
      <c r="H701" s="389">
        <f t="shared" si="76"/>
        <v>5.1190000000000007</v>
      </c>
      <c r="I701" s="483">
        <v>6.11</v>
      </c>
      <c r="J701" s="399"/>
      <c r="K701" s="399" t="s">
        <v>3</v>
      </c>
      <c r="L701" s="389">
        <f t="shared" si="79"/>
        <v>5.1190000000000007</v>
      </c>
    </row>
    <row r="702" spans="1:12" ht="14.4" x14ac:dyDescent="0.25">
      <c r="B702" s="217" t="s">
        <v>480</v>
      </c>
      <c r="C702" s="398"/>
      <c r="D702" s="389">
        <v>0.32</v>
      </c>
      <c r="E702" s="389"/>
      <c r="F702" s="389">
        <v>3.94</v>
      </c>
      <c r="G702" s="390">
        <v>2</v>
      </c>
      <c r="H702" s="389">
        <f t="shared" si="76"/>
        <v>2.5215999999999998</v>
      </c>
      <c r="I702" s="483"/>
      <c r="J702" s="399"/>
      <c r="K702" s="399" t="s">
        <v>3</v>
      </c>
      <c r="L702" s="389">
        <f t="shared" si="79"/>
        <v>2.5215999999999998</v>
      </c>
    </row>
    <row r="703" spans="1:12" ht="14.4" x14ac:dyDescent="0.25">
      <c r="B703" s="217" t="s">
        <v>481</v>
      </c>
      <c r="C703" s="398"/>
      <c r="D703" s="389">
        <v>4.75</v>
      </c>
      <c r="E703" s="389"/>
      <c r="F703" s="389">
        <v>3.94</v>
      </c>
      <c r="G703" s="390">
        <v>1</v>
      </c>
      <c r="H703" s="389">
        <f t="shared" si="76"/>
        <v>9.875</v>
      </c>
      <c r="I703" s="483">
        <v>8.84</v>
      </c>
      <c r="J703" s="399"/>
      <c r="K703" s="399" t="s">
        <v>3</v>
      </c>
      <c r="L703" s="389">
        <f t="shared" si="79"/>
        <v>9.875</v>
      </c>
    </row>
    <row r="704" spans="1:12" ht="14.4" x14ac:dyDescent="0.25">
      <c r="B704" s="217" t="s">
        <v>482</v>
      </c>
      <c r="C704" s="398"/>
      <c r="D704" s="389">
        <v>2</v>
      </c>
      <c r="E704" s="389"/>
      <c r="F704" s="389">
        <v>3.94</v>
      </c>
      <c r="G704" s="390">
        <v>1</v>
      </c>
      <c r="H704" s="389">
        <f t="shared" si="76"/>
        <v>7.88</v>
      </c>
      <c r="I704" s="483"/>
      <c r="J704" s="399"/>
      <c r="K704" s="399" t="s">
        <v>3</v>
      </c>
      <c r="L704" s="389">
        <f t="shared" si="79"/>
        <v>7.88</v>
      </c>
    </row>
    <row r="705" spans="2:12" ht="14.4" x14ac:dyDescent="0.25">
      <c r="B705" s="217" t="s">
        <v>483</v>
      </c>
      <c r="C705" s="398"/>
      <c r="D705" s="389">
        <v>3.98</v>
      </c>
      <c r="E705" s="389"/>
      <c r="F705" s="389">
        <v>3.94</v>
      </c>
      <c r="G705" s="390">
        <v>1</v>
      </c>
      <c r="H705" s="389">
        <f t="shared" si="76"/>
        <v>13.3712</v>
      </c>
      <c r="I705" s="483">
        <v>2.31</v>
      </c>
      <c r="J705" s="399"/>
      <c r="K705" s="399" t="s">
        <v>3</v>
      </c>
      <c r="L705" s="389">
        <f t="shared" si="79"/>
        <v>13.3712</v>
      </c>
    </row>
    <row r="706" spans="2:12" ht="14.4" x14ac:dyDescent="0.25">
      <c r="B706" s="217" t="s">
        <v>484</v>
      </c>
      <c r="C706" s="398"/>
      <c r="D706" s="389">
        <v>2.31</v>
      </c>
      <c r="E706" s="389"/>
      <c r="F706" s="389">
        <v>3.94</v>
      </c>
      <c r="G706" s="390">
        <v>1</v>
      </c>
      <c r="H706" s="389">
        <f t="shared" si="76"/>
        <v>9.1013999999999999</v>
      </c>
      <c r="I706" s="483"/>
      <c r="J706" s="399"/>
      <c r="K706" s="399" t="s">
        <v>3</v>
      </c>
      <c r="L706" s="389">
        <f t="shared" si="79"/>
        <v>9.1013999999999999</v>
      </c>
    </row>
    <row r="707" spans="2:12" ht="14.4" x14ac:dyDescent="0.25">
      <c r="B707" s="217" t="s">
        <v>486</v>
      </c>
      <c r="C707" s="398"/>
      <c r="D707" s="389">
        <v>10.67</v>
      </c>
      <c r="E707" s="389"/>
      <c r="F707" s="389">
        <v>3.94</v>
      </c>
      <c r="G707" s="390">
        <v>1</v>
      </c>
      <c r="H707" s="389">
        <f t="shared" si="76"/>
        <v>42.0398</v>
      </c>
      <c r="I707" s="483"/>
      <c r="J707" s="399"/>
      <c r="K707" s="399" t="s">
        <v>3</v>
      </c>
      <c r="L707" s="389">
        <f t="shared" si="79"/>
        <v>42.0398</v>
      </c>
    </row>
    <row r="708" spans="2:12" ht="14.4" x14ac:dyDescent="0.25">
      <c r="B708" s="217" t="s">
        <v>492</v>
      </c>
      <c r="C708" s="398"/>
      <c r="D708" s="389">
        <v>2.1800000000000002</v>
      </c>
      <c r="E708" s="389"/>
      <c r="F708" s="389">
        <v>3.94</v>
      </c>
      <c r="G708" s="390">
        <v>1</v>
      </c>
      <c r="H708" s="389">
        <f t="shared" si="76"/>
        <v>8.5891999999999999</v>
      </c>
      <c r="I708" s="483"/>
      <c r="J708" s="399"/>
      <c r="K708" s="399" t="s">
        <v>3</v>
      </c>
      <c r="L708" s="389">
        <f t="shared" si="79"/>
        <v>8.5891999999999999</v>
      </c>
    </row>
    <row r="709" spans="2:12" ht="14.4" x14ac:dyDescent="0.25">
      <c r="B709" s="217" t="s">
        <v>493</v>
      </c>
      <c r="C709" s="398"/>
      <c r="D709" s="389">
        <v>5</v>
      </c>
      <c r="E709" s="389"/>
      <c r="F709" s="389">
        <v>3.94</v>
      </c>
      <c r="G709" s="390">
        <v>2</v>
      </c>
      <c r="H709" s="389">
        <f t="shared" si="76"/>
        <v>39.4</v>
      </c>
      <c r="I709" s="483"/>
      <c r="J709" s="399"/>
      <c r="K709" s="399" t="s">
        <v>3</v>
      </c>
      <c r="L709" s="389">
        <f t="shared" si="79"/>
        <v>39.4</v>
      </c>
    </row>
    <row r="710" spans="2:12" ht="14.4" x14ac:dyDescent="0.25">
      <c r="B710" s="217" t="s">
        <v>498</v>
      </c>
      <c r="C710" s="398"/>
      <c r="D710" s="389">
        <v>1.84</v>
      </c>
      <c r="E710" s="389"/>
      <c r="F710" s="389">
        <v>3.94</v>
      </c>
      <c r="G710" s="390">
        <v>1</v>
      </c>
      <c r="H710" s="389">
        <f t="shared" si="76"/>
        <v>7.2496</v>
      </c>
      <c r="I710" s="483"/>
      <c r="J710" s="399"/>
      <c r="K710" s="399" t="s">
        <v>3</v>
      </c>
      <c r="L710" s="389">
        <f t="shared" si="79"/>
        <v>7.2496</v>
      </c>
    </row>
    <row r="711" spans="2:12" ht="14.4" x14ac:dyDescent="0.25">
      <c r="B711" s="217" t="s">
        <v>500</v>
      </c>
      <c r="C711" s="398"/>
      <c r="D711" s="389">
        <v>15.67</v>
      </c>
      <c r="E711" s="389"/>
      <c r="F711" s="389">
        <v>3.94</v>
      </c>
      <c r="G711" s="390">
        <v>1</v>
      </c>
      <c r="H711" s="389">
        <f t="shared" si="76"/>
        <v>33.659799999999997</v>
      </c>
      <c r="I711" s="483">
        <v>28.08</v>
      </c>
      <c r="J711" s="399"/>
      <c r="K711" s="399" t="s">
        <v>3</v>
      </c>
      <c r="L711" s="389">
        <f t="shared" si="79"/>
        <v>33.659799999999997</v>
      </c>
    </row>
    <row r="712" spans="2:12" ht="14.4" x14ac:dyDescent="0.25">
      <c r="B712" s="217" t="s">
        <v>503</v>
      </c>
      <c r="C712" s="398"/>
      <c r="D712" s="389">
        <v>3.86</v>
      </c>
      <c r="E712" s="389"/>
      <c r="F712" s="389">
        <v>3.94</v>
      </c>
      <c r="G712" s="390">
        <v>1</v>
      </c>
      <c r="H712" s="389">
        <f t="shared" si="76"/>
        <v>15.208399999999999</v>
      </c>
      <c r="I712" s="483"/>
      <c r="J712" s="399"/>
      <c r="K712" s="399" t="s">
        <v>3</v>
      </c>
      <c r="L712" s="389">
        <f t="shared" si="79"/>
        <v>15.208399999999999</v>
      </c>
    </row>
    <row r="713" spans="2:12" ht="14.4" x14ac:dyDescent="0.25">
      <c r="B713" s="217" t="s">
        <v>505</v>
      </c>
      <c r="C713" s="398"/>
      <c r="D713" s="389">
        <v>2.75</v>
      </c>
      <c r="E713" s="389"/>
      <c r="F713" s="389">
        <v>3.94</v>
      </c>
      <c r="G713" s="390">
        <v>2</v>
      </c>
      <c r="H713" s="389">
        <f t="shared" si="76"/>
        <v>18.939999999999998</v>
      </c>
      <c r="I713" s="483">
        <v>2.73</v>
      </c>
      <c r="J713" s="399"/>
      <c r="K713" s="399" t="s">
        <v>3</v>
      </c>
      <c r="L713" s="389">
        <f t="shared" si="79"/>
        <v>18.939999999999998</v>
      </c>
    </row>
    <row r="714" spans="2:12" ht="14.4" x14ac:dyDescent="0.25">
      <c r="B714" s="217" t="s">
        <v>506</v>
      </c>
      <c r="C714" s="398"/>
      <c r="D714" s="389">
        <v>1.1000000000000001</v>
      </c>
      <c r="E714" s="389"/>
      <c r="F714" s="389">
        <v>3.94</v>
      </c>
      <c r="G714" s="390">
        <v>1</v>
      </c>
      <c r="H714" s="389">
        <f t="shared" si="76"/>
        <v>4.3340000000000005</v>
      </c>
      <c r="I714" s="483"/>
      <c r="J714" s="399"/>
      <c r="K714" s="399" t="s">
        <v>3</v>
      </c>
      <c r="L714" s="389">
        <f t="shared" si="79"/>
        <v>4.3340000000000005</v>
      </c>
    </row>
    <row r="715" spans="2:12" ht="14.4" x14ac:dyDescent="0.25">
      <c r="B715" s="217" t="s">
        <v>507</v>
      </c>
      <c r="C715" s="398"/>
      <c r="D715" s="389">
        <v>1.2</v>
      </c>
      <c r="E715" s="389"/>
      <c r="F715" s="389">
        <v>3.94</v>
      </c>
      <c r="G715" s="390">
        <v>1</v>
      </c>
      <c r="H715" s="389">
        <f t="shared" si="76"/>
        <v>4.7279999999999998</v>
      </c>
      <c r="I715" s="483"/>
      <c r="J715" s="399"/>
      <c r="K715" s="399" t="s">
        <v>3</v>
      </c>
      <c r="L715" s="389">
        <f t="shared" si="79"/>
        <v>4.7279999999999998</v>
      </c>
    </row>
    <row r="716" spans="2:12" ht="14.4" x14ac:dyDescent="0.25">
      <c r="B716" s="217" t="s">
        <v>514</v>
      </c>
      <c r="C716" s="398"/>
      <c r="D716" s="389">
        <v>0.76</v>
      </c>
      <c r="E716" s="389"/>
      <c r="F716" s="389">
        <v>3.94</v>
      </c>
      <c r="G716" s="390">
        <v>1</v>
      </c>
      <c r="H716" s="389">
        <f t="shared" si="76"/>
        <v>2.9944000000000002</v>
      </c>
      <c r="I716" s="483"/>
      <c r="J716" s="399"/>
      <c r="K716" s="399" t="s">
        <v>3</v>
      </c>
      <c r="L716" s="389">
        <f t="shared" si="79"/>
        <v>2.9944000000000002</v>
      </c>
    </row>
    <row r="717" spans="2:12" ht="14.4" x14ac:dyDescent="0.25">
      <c r="B717" s="217" t="s">
        <v>516</v>
      </c>
      <c r="C717" s="398"/>
      <c r="D717" s="389">
        <v>2.65</v>
      </c>
      <c r="E717" s="389"/>
      <c r="F717" s="389">
        <v>3.94</v>
      </c>
      <c r="G717" s="390">
        <v>1</v>
      </c>
      <c r="H717" s="389">
        <f t="shared" si="76"/>
        <v>7.0809999999999995</v>
      </c>
      <c r="I717" s="483">
        <v>3.36</v>
      </c>
      <c r="J717" s="399"/>
      <c r="K717" s="399" t="s">
        <v>3</v>
      </c>
      <c r="L717" s="389">
        <f t="shared" si="79"/>
        <v>7.0809999999999995</v>
      </c>
    </row>
    <row r="718" spans="2:12" ht="14.4" x14ac:dyDescent="0.25">
      <c r="B718" s="217" t="s">
        <v>517</v>
      </c>
      <c r="C718" s="398"/>
      <c r="D718" s="389">
        <v>6.61</v>
      </c>
      <c r="E718" s="389"/>
      <c r="F718" s="389">
        <v>3.94</v>
      </c>
      <c r="G718" s="390">
        <v>1</v>
      </c>
      <c r="H718" s="389">
        <f t="shared" si="76"/>
        <v>26.043400000000002</v>
      </c>
      <c r="I718" s="483"/>
      <c r="J718" s="399"/>
      <c r="K718" s="399" t="s">
        <v>3</v>
      </c>
      <c r="L718" s="389">
        <f t="shared" si="79"/>
        <v>26.043400000000002</v>
      </c>
    </row>
    <row r="719" spans="2:12" ht="14.4" x14ac:dyDescent="0.25">
      <c r="B719" s="217" t="s">
        <v>518</v>
      </c>
      <c r="C719" s="398"/>
      <c r="D719" s="389">
        <v>2.5299999999999998</v>
      </c>
      <c r="E719" s="389"/>
      <c r="F719" s="389">
        <v>3.94</v>
      </c>
      <c r="G719" s="390">
        <v>1</v>
      </c>
      <c r="H719" s="389">
        <f t="shared" si="76"/>
        <v>9.9681999999999995</v>
      </c>
      <c r="I719" s="483"/>
      <c r="J719" s="399"/>
      <c r="K719" s="399" t="s">
        <v>3</v>
      </c>
      <c r="L719" s="389">
        <f t="shared" si="79"/>
        <v>9.9681999999999995</v>
      </c>
    </row>
    <row r="720" spans="2:12" ht="14.4" x14ac:dyDescent="0.25">
      <c r="B720" s="217" t="s">
        <v>520</v>
      </c>
      <c r="C720" s="398"/>
      <c r="D720" s="389">
        <v>2.72</v>
      </c>
      <c r="E720" s="389"/>
      <c r="F720" s="389">
        <v>3.94</v>
      </c>
      <c r="G720" s="390">
        <v>1</v>
      </c>
      <c r="H720" s="389">
        <f t="shared" si="76"/>
        <v>10.716800000000001</v>
      </c>
      <c r="I720" s="483"/>
      <c r="J720" s="399"/>
      <c r="K720" s="399" t="s">
        <v>3</v>
      </c>
      <c r="L720" s="389">
        <f t="shared" si="79"/>
        <v>10.716800000000001</v>
      </c>
    </row>
    <row r="721" spans="2:12" ht="14.4" x14ac:dyDescent="0.25">
      <c r="B721" s="217" t="s">
        <v>522</v>
      </c>
      <c r="C721" s="398"/>
      <c r="D721" s="389">
        <v>1.73</v>
      </c>
      <c r="E721" s="389"/>
      <c r="F721" s="389">
        <v>3.94</v>
      </c>
      <c r="G721" s="390">
        <v>1</v>
      </c>
      <c r="H721" s="389">
        <f t="shared" si="76"/>
        <v>6.8162000000000003</v>
      </c>
      <c r="I721" s="483"/>
      <c r="J721" s="399"/>
      <c r="K721" s="399" t="s">
        <v>3</v>
      </c>
      <c r="L721" s="389">
        <f t="shared" si="79"/>
        <v>6.8162000000000003</v>
      </c>
    </row>
    <row r="722" spans="2:12" ht="14.4" x14ac:dyDescent="0.25">
      <c r="B722" s="217" t="s">
        <v>525</v>
      </c>
      <c r="C722" s="398"/>
      <c r="D722" s="389">
        <v>2.5299999999999998</v>
      </c>
      <c r="E722" s="389"/>
      <c r="F722" s="389">
        <v>3.94</v>
      </c>
      <c r="G722" s="390">
        <v>1</v>
      </c>
      <c r="H722" s="389">
        <f t="shared" si="76"/>
        <v>9.9681999999999995</v>
      </c>
      <c r="I722" s="483"/>
      <c r="J722" s="399"/>
      <c r="K722" s="399" t="s">
        <v>3</v>
      </c>
      <c r="L722" s="389">
        <f t="shared" si="79"/>
        <v>9.9681999999999995</v>
      </c>
    </row>
    <row r="723" spans="2:12" ht="14.4" x14ac:dyDescent="0.25">
      <c r="B723" s="217" t="s">
        <v>534</v>
      </c>
      <c r="C723" s="398"/>
      <c r="D723" s="389">
        <v>2.86</v>
      </c>
      <c r="E723" s="389"/>
      <c r="F723" s="389">
        <v>3.94</v>
      </c>
      <c r="G723" s="390">
        <v>1</v>
      </c>
      <c r="H723" s="389">
        <f t="shared" si="76"/>
        <v>11.2684</v>
      </c>
      <c r="I723" s="483"/>
      <c r="J723" s="399"/>
      <c r="K723" s="399" t="s">
        <v>3</v>
      </c>
      <c r="L723" s="389">
        <f t="shared" si="79"/>
        <v>11.2684</v>
      </c>
    </row>
    <row r="724" spans="2:12" ht="14.4" x14ac:dyDescent="0.25">
      <c r="B724" s="217" t="s">
        <v>535</v>
      </c>
      <c r="C724" s="398"/>
      <c r="D724" s="389">
        <v>6.31</v>
      </c>
      <c r="E724" s="389"/>
      <c r="F724" s="389">
        <v>3.94</v>
      </c>
      <c r="G724" s="390">
        <v>1</v>
      </c>
      <c r="H724" s="389">
        <f t="shared" si="76"/>
        <v>24.8614</v>
      </c>
      <c r="I724" s="483"/>
      <c r="J724" s="399"/>
      <c r="K724" s="399" t="s">
        <v>3</v>
      </c>
      <c r="L724" s="389">
        <f t="shared" si="79"/>
        <v>24.8614</v>
      </c>
    </row>
    <row r="725" spans="2:12" ht="14.4" x14ac:dyDescent="0.25">
      <c r="B725" s="217" t="s">
        <v>537</v>
      </c>
      <c r="C725" s="398"/>
      <c r="D725" s="389">
        <v>3.58</v>
      </c>
      <c r="E725" s="389"/>
      <c r="F725" s="389">
        <v>3.94</v>
      </c>
      <c r="G725" s="390">
        <v>1</v>
      </c>
      <c r="H725" s="389">
        <f t="shared" si="76"/>
        <v>14.1052</v>
      </c>
      <c r="I725" s="483"/>
      <c r="J725" s="399"/>
      <c r="K725" s="399" t="s">
        <v>3</v>
      </c>
      <c r="L725" s="389">
        <f t="shared" si="79"/>
        <v>14.1052</v>
      </c>
    </row>
    <row r="726" spans="2:12" ht="14.4" x14ac:dyDescent="0.25">
      <c r="B726" s="217" t="s">
        <v>540</v>
      </c>
      <c r="C726" s="398"/>
      <c r="D726" s="389">
        <v>1.22</v>
      </c>
      <c r="E726" s="389"/>
      <c r="F726" s="389">
        <v>3.94</v>
      </c>
      <c r="G726" s="390">
        <v>1</v>
      </c>
      <c r="H726" s="389">
        <f t="shared" si="76"/>
        <v>4.8068</v>
      </c>
      <c r="I726" s="483"/>
      <c r="J726" s="399"/>
      <c r="K726" s="399" t="s">
        <v>3</v>
      </c>
      <c r="L726" s="389">
        <f t="shared" si="79"/>
        <v>4.8068</v>
      </c>
    </row>
    <row r="727" spans="2:12" ht="14.4" x14ac:dyDescent="0.25">
      <c r="B727" s="199" t="s">
        <v>543</v>
      </c>
      <c r="C727" s="398"/>
      <c r="D727" s="389">
        <v>1.54</v>
      </c>
      <c r="E727" s="389"/>
      <c r="F727" s="389">
        <v>3.94</v>
      </c>
      <c r="G727" s="390">
        <v>1</v>
      </c>
      <c r="H727" s="389">
        <f t="shared" si="76"/>
        <v>6.0675999999999997</v>
      </c>
      <c r="I727" s="483"/>
      <c r="J727" s="399"/>
      <c r="K727" s="399" t="s">
        <v>3</v>
      </c>
      <c r="L727" s="389">
        <f t="shared" si="79"/>
        <v>6.0675999999999997</v>
      </c>
    </row>
    <row r="728" spans="2:12" ht="14.4" x14ac:dyDescent="0.25">
      <c r="B728" s="199" t="s">
        <v>544</v>
      </c>
      <c r="C728" s="398"/>
      <c r="D728" s="389">
        <v>3.45</v>
      </c>
      <c r="E728" s="389"/>
      <c r="F728" s="389">
        <v>3.94</v>
      </c>
      <c r="G728" s="390">
        <v>1</v>
      </c>
      <c r="H728" s="389">
        <f t="shared" si="76"/>
        <v>13.593</v>
      </c>
      <c r="I728" s="483"/>
      <c r="J728" s="399"/>
      <c r="K728" s="399" t="s">
        <v>3</v>
      </c>
      <c r="L728" s="389">
        <f t="shared" si="79"/>
        <v>13.593</v>
      </c>
    </row>
    <row r="729" spans="2:12" ht="14.4" x14ac:dyDescent="0.25">
      <c r="B729" s="199" t="s">
        <v>546</v>
      </c>
      <c r="C729" s="398"/>
      <c r="D729" s="389">
        <v>1.6</v>
      </c>
      <c r="E729" s="389"/>
      <c r="F729" s="389">
        <v>3.94</v>
      </c>
      <c r="G729" s="390">
        <v>1</v>
      </c>
      <c r="H729" s="389">
        <f t="shared" si="76"/>
        <v>6.3040000000000003</v>
      </c>
      <c r="I729" s="483"/>
      <c r="J729" s="399"/>
      <c r="K729" s="399" t="s">
        <v>3</v>
      </c>
      <c r="L729" s="389">
        <f t="shared" si="79"/>
        <v>6.3040000000000003</v>
      </c>
    </row>
    <row r="730" spans="2:12" ht="14.4" x14ac:dyDescent="0.25">
      <c r="B730" s="199" t="s">
        <v>548</v>
      </c>
      <c r="C730" s="398"/>
      <c r="D730" s="389">
        <v>2.5299999999999998</v>
      </c>
      <c r="E730" s="389"/>
      <c r="F730" s="389">
        <v>3.94</v>
      </c>
      <c r="G730" s="390">
        <v>1</v>
      </c>
      <c r="H730" s="389">
        <f t="shared" si="76"/>
        <v>9.9681999999999995</v>
      </c>
      <c r="I730" s="483"/>
      <c r="J730" s="399"/>
      <c r="K730" s="399" t="s">
        <v>3</v>
      </c>
      <c r="L730" s="389">
        <f t="shared" si="79"/>
        <v>9.9681999999999995</v>
      </c>
    </row>
    <row r="731" spans="2:12" ht="14.4" x14ac:dyDescent="0.25">
      <c r="B731" s="199" t="s">
        <v>550</v>
      </c>
      <c r="C731" s="398"/>
      <c r="D731" s="389">
        <v>6.64</v>
      </c>
      <c r="E731" s="389"/>
      <c r="F731" s="389">
        <v>3.94</v>
      </c>
      <c r="G731" s="390">
        <v>1</v>
      </c>
      <c r="H731" s="389">
        <f t="shared" si="76"/>
        <v>26.1616</v>
      </c>
      <c r="I731" s="483"/>
      <c r="J731" s="399"/>
      <c r="K731" s="399" t="s">
        <v>3</v>
      </c>
      <c r="L731" s="389">
        <f t="shared" si="79"/>
        <v>26.1616</v>
      </c>
    </row>
    <row r="732" spans="2:12" ht="14.4" x14ac:dyDescent="0.25">
      <c r="B732" s="199" t="s">
        <v>554</v>
      </c>
      <c r="C732" s="398"/>
      <c r="D732" s="389">
        <v>2.25</v>
      </c>
      <c r="E732" s="389"/>
      <c r="F732" s="389">
        <v>3.94</v>
      </c>
      <c r="G732" s="390">
        <v>1</v>
      </c>
      <c r="H732" s="389">
        <f t="shared" si="76"/>
        <v>6.1349999999999998</v>
      </c>
      <c r="I732" s="483">
        <v>2.73</v>
      </c>
      <c r="J732" s="399"/>
      <c r="K732" s="399" t="s">
        <v>3</v>
      </c>
      <c r="L732" s="389">
        <f t="shared" si="79"/>
        <v>6.1349999999999998</v>
      </c>
    </row>
    <row r="733" spans="2:12" ht="14.4" x14ac:dyDescent="0.25">
      <c r="B733" s="199" t="s">
        <v>556</v>
      </c>
      <c r="C733" s="398"/>
      <c r="D733" s="389">
        <v>7.4</v>
      </c>
      <c r="E733" s="389"/>
      <c r="F733" s="389">
        <v>3.94</v>
      </c>
      <c r="G733" s="390">
        <v>1</v>
      </c>
      <c r="H733" s="389">
        <f t="shared" si="76"/>
        <v>15.116000000000003</v>
      </c>
      <c r="I733" s="483">
        <v>14.04</v>
      </c>
      <c r="J733" s="399"/>
      <c r="K733" s="399" t="s">
        <v>3</v>
      </c>
      <c r="L733" s="389">
        <f t="shared" si="79"/>
        <v>15.116000000000003</v>
      </c>
    </row>
    <row r="734" spans="2:12" ht="14.4" x14ac:dyDescent="0.25">
      <c r="B734" s="199" t="s">
        <v>558</v>
      </c>
      <c r="C734" s="398"/>
      <c r="D734" s="389">
        <v>3.85</v>
      </c>
      <c r="E734" s="389"/>
      <c r="F734" s="389">
        <v>3.94</v>
      </c>
      <c r="G734" s="390">
        <v>1</v>
      </c>
      <c r="H734" s="389">
        <f t="shared" si="76"/>
        <v>7.6090000000000009</v>
      </c>
      <c r="I734" s="483">
        <v>7.56</v>
      </c>
      <c r="J734" s="399"/>
      <c r="K734" s="399" t="s">
        <v>3</v>
      </c>
      <c r="L734" s="389">
        <f t="shared" si="79"/>
        <v>7.6090000000000009</v>
      </c>
    </row>
    <row r="735" spans="2:12" ht="14.4" x14ac:dyDescent="0.25">
      <c r="B735" s="199" t="s">
        <v>560</v>
      </c>
      <c r="C735" s="398"/>
      <c r="D735" s="389">
        <v>3.85</v>
      </c>
      <c r="E735" s="389"/>
      <c r="F735" s="389">
        <v>3.94</v>
      </c>
      <c r="G735" s="390">
        <v>1</v>
      </c>
      <c r="H735" s="389">
        <f t="shared" si="76"/>
        <v>7.6090000000000009</v>
      </c>
      <c r="I735" s="483">
        <v>7.56</v>
      </c>
      <c r="J735" s="399"/>
      <c r="K735" s="399" t="s">
        <v>3</v>
      </c>
      <c r="L735" s="389">
        <f t="shared" si="79"/>
        <v>7.6090000000000009</v>
      </c>
    </row>
    <row r="736" spans="2:12" ht="14.4" x14ac:dyDescent="0.25">
      <c r="B736" s="199" t="s">
        <v>562</v>
      </c>
      <c r="C736" s="398"/>
      <c r="D736" s="389">
        <v>7.85</v>
      </c>
      <c r="E736" s="389"/>
      <c r="F736" s="389">
        <v>3.94</v>
      </c>
      <c r="G736" s="390">
        <v>1</v>
      </c>
      <c r="H736" s="389">
        <f t="shared" si="76"/>
        <v>16.888999999999999</v>
      </c>
      <c r="I736" s="483">
        <v>14.04</v>
      </c>
      <c r="J736" s="399"/>
      <c r="K736" s="399" t="s">
        <v>3</v>
      </c>
      <c r="L736" s="389">
        <f t="shared" si="79"/>
        <v>16.888999999999999</v>
      </c>
    </row>
    <row r="737" spans="2:12" ht="14.4" x14ac:dyDescent="0.25">
      <c r="B737" s="199" t="s">
        <v>595</v>
      </c>
      <c r="C737" s="398"/>
      <c r="D737" s="389">
        <v>3.86</v>
      </c>
      <c r="E737" s="389"/>
      <c r="F737" s="389">
        <v>3.94</v>
      </c>
      <c r="G737" s="390">
        <v>1</v>
      </c>
      <c r="H737" s="389">
        <f t="shared" si="76"/>
        <v>15.208399999999999</v>
      </c>
      <c r="I737" s="483"/>
      <c r="J737" s="399"/>
      <c r="K737" s="399" t="s">
        <v>3</v>
      </c>
      <c r="L737" s="389">
        <f t="shared" si="79"/>
        <v>15.208399999999999</v>
      </c>
    </row>
    <row r="738" spans="2:12" ht="14.4" x14ac:dyDescent="0.25">
      <c r="B738" s="199" t="s">
        <v>603</v>
      </c>
      <c r="C738" s="398"/>
      <c r="D738" s="389">
        <v>1.84</v>
      </c>
      <c r="E738" s="389"/>
      <c r="F738" s="389">
        <v>3.94</v>
      </c>
      <c r="G738" s="390">
        <v>1</v>
      </c>
      <c r="H738" s="389">
        <f t="shared" si="76"/>
        <v>7.2496</v>
      </c>
      <c r="I738" s="483"/>
      <c r="J738" s="399"/>
      <c r="K738" s="399" t="s">
        <v>3</v>
      </c>
      <c r="L738" s="389">
        <f t="shared" si="79"/>
        <v>7.2496</v>
      </c>
    </row>
    <row r="739" spans="2:12" ht="14.4" x14ac:dyDescent="0.25">
      <c r="B739" s="199" t="s">
        <v>594</v>
      </c>
      <c r="C739" s="398"/>
      <c r="D739" s="389">
        <v>2.33</v>
      </c>
      <c r="E739" s="389"/>
      <c r="F739" s="389">
        <v>3.94</v>
      </c>
      <c r="G739" s="390">
        <v>1</v>
      </c>
      <c r="H739" s="389">
        <f t="shared" si="76"/>
        <v>9.180200000000001</v>
      </c>
      <c r="I739" s="483"/>
      <c r="J739" s="399"/>
      <c r="K739" s="399" t="s">
        <v>3</v>
      </c>
      <c r="L739" s="389">
        <f t="shared" si="79"/>
        <v>9.180200000000001</v>
      </c>
    </row>
    <row r="740" spans="2:12" ht="14.4" x14ac:dyDescent="0.25">
      <c r="B740" s="199" t="s">
        <v>607</v>
      </c>
      <c r="C740" s="398"/>
      <c r="D740" s="389">
        <v>5</v>
      </c>
      <c r="E740" s="389"/>
      <c r="F740" s="389">
        <v>3.94</v>
      </c>
      <c r="G740" s="390">
        <v>1</v>
      </c>
      <c r="H740" s="389">
        <f t="shared" si="76"/>
        <v>19.7</v>
      </c>
      <c r="I740" s="483"/>
      <c r="J740" s="399"/>
      <c r="K740" s="399" t="s">
        <v>3</v>
      </c>
      <c r="L740" s="389">
        <f t="shared" si="79"/>
        <v>19.7</v>
      </c>
    </row>
    <row r="741" spans="2:12" ht="14.4" x14ac:dyDescent="0.25">
      <c r="B741" s="199" t="s">
        <v>609</v>
      </c>
      <c r="C741" s="398"/>
      <c r="D741" s="389">
        <v>1.84</v>
      </c>
      <c r="E741" s="389"/>
      <c r="F741" s="389">
        <v>3.94</v>
      </c>
      <c r="G741" s="390">
        <v>1</v>
      </c>
      <c r="H741" s="389">
        <f t="shared" si="76"/>
        <v>7.2496</v>
      </c>
      <c r="I741" s="483"/>
      <c r="J741" s="399"/>
      <c r="K741" s="399" t="s">
        <v>3</v>
      </c>
      <c r="L741" s="389">
        <f t="shared" si="79"/>
        <v>7.2496</v>
      </c>
    </row>
    <row r="742" spans="2:12" ht="14.4" x14ac:dyDescent="0.25">
      <c r="B742" s="613" t="s">
        <v>641</v>
      </c>
      <c r="C742" s="398"/>
      <c r="D742" s="389">
        <v>2.27</v>
      </c>
      <c r="E742" s="389"/>
      <c r="F742" s="389">
        <v>3.94</v>
      </c>
      <c r="G742" s="390">
        <v>2</v>
      </c>
      <c r="H742" s="389">
        <f t="shared" si="76"/>
        <v>10.747599999999998</v>
      </c>
      <c r="I742" s="483">
        <v>7.14</v>
      </c>
      <c r="J742" s="399"/>
      <c r="K742" s="399" t="s">
        <v>3</v>
      </c>
      <c r="L742" s="389">
        <f t="shared" si="79"/>
        <v>10.747599999999998</v>
      </c>
    </row>
    <row r="743" spans="2:12" ht="14.4" x14ac:dyDescent="0.25">
      <c r="B743" s="391" t="s">
        <v>563</v>
      </c>
      <c r="C743" s="205"/>
      <c r="D743" s="392">
        <f>SUM(D696:D742)</f>
        <v>158.26000000000008</v>
      </c>
      <c r="E743" s="401"/>
      <c r="F743" s="393"/>
      <c r="G743" s="394"/>
      <c r="H743" s="395"/>
      <c r="I743" s="395"/>
      <c r="J743" s="395"/>
      <c r="K743" s="396" t="s">
        <v>3</v>
      </c>
      <c r="L743" s="397">
        <f>SUM(L696:L742)</f>
        <v>555.93400000000008</v>
      </c>
    </row>
    <row r="744" spans="2:12" ht="14.4" customHeight="1" x14ac:dyDescent="0.25">
      <c r="B744" s="822" t="s">
        <v>1</v>
      </c>
      <c r="C744" s="55" t="s">
        <v>0</v>
      </c>
      <c r="D744" s="52" t="s">
        <v>12</v>
      </c>
      <c r="E744" s="52" t="s">
        <v>4</v>
      </c>
      <c r="F744" s="52" t="s">
        <v>2</v>
      </c>
      <c r="G744" s="52" t="s">
        <v>6</v>
      </c>
      <c r="H744" s="148" t="s">
        <v>5</v>
      </c>
      <c r="I744" s="56" t="s">
        <v>13</v>
      </c>
      <c r="J744" s="148" t="s">
        <v>14</v>
      </c>
      <c r="K744" s="822" t="s">
        <v>7</v>
      </c>
      <c r="L744" s="824" t="s">
        <v>8</v>
      </c>
    </row>
    <row r="745" spans="2:12" ht="14.4" x14ac:dyDescent="0.3">
      <c r="B745" s="823"/>
      <c r="C745" s="80" t="s">
        <v>9</v>
      </c>
      <c r="D745" s="81" t="s">
        <v>10</v>
      </c>
      <c r="E745" s="81" t="s">
        <v>10</v>
      </c>
      <c r="F745" s="81" t="s">
        <v>10</v>
      </c>
      <c r="G745" s="80" t="s">
        <v>9</v>
      </c>
      <c r="H745" s="82" t="s">
        <v>11</v>
      </c>
      <c r="I745" s="113" t="s">
        <v>11</v>
      </c>
      <c r="J745" s="82" t="s">
        <v>15</v>
      </c>
      <c r="K745" s="823"/>
      <c r="L745" s="825"/>
    </row>
    <row r="746" spans="2:12" ht="14.4" x14ac:dyDescent="0.3">
      <c r="B746" s="20" t="s">
        <v>701</v>
      </c>
      <c r="C746" s="381"/>
      <c r="D746" s="382"/>
      <c r="E746" s="382"/>
      <c r="F746" s="382"/>
      <c r="G746" s="381"/>
      <c r="H746" s="383"/>
      <c r="I746" s="384"/>
      <c r="J746" s="383"/>
      <c r="K746" s="383"/>
      <c r="L746" s="7"/>
    </row>
    <row r="747" spans="2:12" ht="14.4" x14ac:dyDescent="0.3">
      <c r="B747" s="379" t="s">
        <v>485</v>
      </c>
      <c r="C747" s="385"/>
      <c r="D747" s="386">
        <v>2.54</v>
      </c>
      <c r="E747" s="386"/>
      <c r="F747" s="16">
        <v>3.94</v>
      </c>
      <c r="G747" s="478">
        <v>1</v>
      </c>
      <c r="H747" s="389">
        <f t="shared" ref="H747:H769" si="80">D747*F747*G747-I747</f>
        <v>10.0076</v>
      </c>
      <c r="I747" s="388"/>
      <c r="J747" s="387"/>
      <c r="K747" s="387" t="s">
        <v>3</v>
      </c>
      <c r="L747" s="389">
        <f t="shared" ref="L747:L800" si="81">H747</f>
        <v>10.0076</v>
      </c>
    </row>
    <row r="748" spans="2:12" ht="14.4" x14ac:dyDescent="0.25">
      <c r="B748" s="15" t="s">
        <v>487</v>
      </c>
      <c r="C748" s="11"/>
      <c r="D748" s="16">
        <v>2</v>
      </c>
      <c r="E748" s="479"/>
      <c r="F748" s="16">
        <v>3.94</v>
      </c>
      <c r="G748" s="478">
        <v>1</v>
      </c>
      <c r="H748" s="389">
        <f t="shared" si="80"/>
        <v>7.88</v>
      </c>
      <c r="I748" s="50"/>
      <c r="J748" s="17"/>
      <c r="K748" s="50" t="s">
        <v>3</v>
      </c>
      <c r="L748" s="389">
        <f t="shared" si="81"/>
        <v>7.88</v>
      </c>
    </row>
    <row r="749" spans="2:12" ht="14.4" x14ac:dyDescent="0.25">
      <c r="B749" s="15" t="s">
        <v>488</v>
      </c>
      <c r="C749" s="11"/>
      <c r="D749" s="16">
        <v>5</v>
      </c>
      <c r="E749" s="479"/>
      <c r="F749" s="16">
        <v>3.94</v>
      </c>
      <c r="G749" s="478">
        <v>2</v>
      </c>
      <c r="H749" s="389">
        <f t="shared" si="80"/>
        <v>39.4</v>
      </c>
      <c r="I749" s="17"/>
      <c r="J749" s="17"/>
      <c r="K749" s="50" t="s">
        <v>3</v>
      </c>
      <c r="L749" s="389">
        <f t="shared" si="81"/>
        <v>39.4</v>
      </c>
    </row>
    <row r="750" spans="2:12" ht="14.4" x14ac:dyDescent="0.25">
      <c r="B750" s="15" t="s">
        <v>490</v>
      </c>
      <c r="C750" s="11"/>
      <c r="D750" s="16">
        <v>2.2400000000000002</v>
      </c>
      <c r="E750" s="479"/>
      <c r="F750" s="16">
        <v>3.94</v>
      </c>
      <c r="G750" s="478">
        <v>1</v>
      </c>
      <c r="H750" s="389">
        <f t="shared" si="80"/>
        <v>8.8256000000000014</v>
      </c>
      <c r="I750" s="17"/>
      <c r="J750" s="17"/>
      <c r="K750" s="50" t="s">
        <v>3</v>
      </c>
      <c r="L750" s="389">
        <f t="shared" si="81"/>
        <v>8.8256000000000014</v>
      </c>
    </row>
    <row r="751" spans="2:12" ht="14.4" x14ac:dyDescent="0.25">
      <c r="B751" s="15" t="s">
        <v>491</v>
      </c>
      <c r="C751" s="11"/>
      <c r="D751" s="16">
        <v>2</v>
      </c>
      <c r="E751" s="479"/>
      <c r="F751" s="16">
        <v>3.94</v>
      </c>
      <c r="G751" s="478">
        <v>1</v>
      </c>
      <c r="H751" s="389">
        <f t="shared" si="80"/>
        <v>7.88</v>
      </c>
      <c r="I751" s="17"/>
      <c r="J751" s="17"/>
      <c r="K751" s="50" t="s">
        <v>3</v>
      </c>
      <c r="L751" s="389">
        <f t="shared" si="81"/>
        <v>7.88</v>
      </c>
    </row>
    <row r="752" spans="2:12" ht="14.4" x14ac:dyDescent="0.25">
      <c r="B752" s="15" t="s">
        <v>494</v>
      </c>
      <c r="C752" s="11"/>
      <c r="D752" s="16">
        <v>1.9</v>
      </c>
      <c r="E752" s="479"/>
      <c r="F752" s="16">
        <v>3.94</v>
      </c>
      <c r="G752" s="478">
        <v>1</v>
      </c>
      <c r="H752" s="389">
        <f t="shared" si="80"/>
        <v>7.4859999999999998</v>
      </c>
      <c r="I752" s="17"/>
      <c r="J752" s="17"/>
      <c r="K752" s="50" t="s">
        <v>3</v>
      </c>
      <c r="L752" s="389">
        <f t="shared" si="81"/>
        <v>7.4859999999999998</v>
      </c>
    </row>
    <row r="753" spans="2:12" ht="14.4" x14ac:dyDescent="0.25">
      <c r="B753" s="15" t="s">
        <v>495</v>
      </c>
      <c r="C753" s="11"/>
      <c r="D753" s="16">
        <v>2.02</v>
      </c>
      <c r="E753" s="479"/>
      <c r="F753" s="16">
        <v>3.94</v>
      </c>
      <c r="G753" s="478">
        <v>1</v>
      </c>
      <c r="H753" s="389">
        <f t="shared" si="80"/>
        <v>7.9588000000000001</v>
      </c>
      <c r="I753" s="17"/>
      <c r="J753" s="17"/>
      <c r="K753" s="50" t="s">
        <v>3</v>
      </c>
      <c r="L753" s="389">
        <f t="shared" si="81"/>
        <v>7.9588000000000001</v>
      </c>
    </row>
    <row r="754" spans="2:12" ht="14.4" x14ac:dyDescent="0.25">
      <c r="B754" s="15" t="s">
        <v>496</v>
      </c>
      <c r="C754" s="11"/>
      <c r="D754" s="16">
        <v>2.0099999999999998</v>
      </c>
      <c r="E754" s="479"/>
      <c r="F754" s="16">
        <v>3.94</v>
      </c>
      <c r="G754" s="478">
        <v>1</v>
      </c>
      <c r="H754" s="389">
        <f t="shared" si="80"/>
        <v>7.9193999999999987</v>
      </c>
      <c r="I754" s="17"/>
      <c r="J754" s="17"/>
      <c r="K754" s="50" t="s">
        <v>3</v>
      </c>
      <c r="L754" s="389">
        <f t="shared" si="81"/>
        <v>7.9193999999999987</v>
      </c>
    </row>
    <row r="755" spans="2:12" ht="14.4" x14ac:dyDescent="0.25">
      <c r="B755" s="15" t="s">
        <v>497</v>
      </c>
      <c r="C755" s="11"/>
      <c r="D755" s="16">
        <v>1.66</v>
      </c>
      <c r="E755" s="479"/>
      <c r="F755" s="16">
        <v>3.94</v>
      </c>
      <c r="G755" s="478">
        <v>1</v>
      </c>
      <c r="H755" s="389">
        <f t="shared" si="80"/>
        <v>6.5404</v>
      </c>
      <c r="I755" s="17"/>
      <c r="J755" s="17"/>
      <c r="K755" s="50" t="s">
        <v>3</v>
      </c>
      <c r="L755" s="389">
        <f t="shared" si="81"/>
        <v>6.5404</v>
      </c>
    </row>
    <row r="756" spans="2:12" ht="14.4" x14ac:dyDescent="0.25">
      <c r="B756" s="15" t="s">
        <v>499</v>
      </c>
      <c r="C756" s="11"/>
      <c r="D756" s="16">
        <v>2.84</v>
      </c>
      <c r="E756" s="479"/>
      <c r="F756" s="16">
        <v>3.94</v>
      </c>
      <c r="G756" s="478">
        <v>1</v>
      </c>
      <c r="H756" s="389">
        <f t="shared" si="80"/>
        <v>11.189599999999999</v>
      </c>
      <c r="I756" s="17"/>
      <c r="J756" s="17"/>
      <c r="K756" s="50" t="s">
        <v>3</v>
      </c>
      <c r="L756" s="389">
        <f t="shared" si="81"/>
        <v>11.189599999999999</v>
      </c>
    </row>
    <row r="757" spans="2:12" ht="14.4" x14ac:dyDescent="0.25">
      <c r="B757" s="15" t="s">
        <v>501</v>
      </c>
      <c r="C757" s="11"/>
      <c r="D757" s="16">
        <v>1.54</v>
      </c>
      <c r="E757" s="479"/>
      <c r="F757" s="16">
        <v>3.94</v>
      </c>
      <c r="G757" s="478">
        <v>1</v>
      </c>
      <c r="H757" s="389">
        <f t="shared" si="80"/>
        <v>6.0675999999999997</v>
      </c>
      <c r="I757" s="17"/>
      <c r="J757" s="17"/>
      <c r="K757" s="50" t="s">
        <v>3</v>
      </c>
      <c r="L757" s="389">
        <f t="shared" si="81"/>
        <v>6.0675999999999997</v>
      </c>
    </row>
    <row r="758" spans="2:12" ht="14.4" x14ac:dyDescent="0.25">
      <c r="B758" s="15" t="s">
        <v>502</v>
      </c>
      <c r="C758" s="11"/>
      <c r="D758" s="16">
        <v>4.8</v>
      </c>
      <c r="E758" s="479"/>
      <c r="F758" s="16">
        <v>3.94</v>
      </c>
      <c r="G758" s="478">
        <v>1</v>
      </c>
      <c r="H758" s="389">
        <f t="shared" si="80"/>
        <v>18.911999999999999</v>
      </c>
      <c r="I758" s="17"/>
      <c r="J758" s="17"/>
      <c r="K758" s="50" t="s">
        <v>3</v>
      </c>
      <c r="L758" s="389">
        <f t="shared" si="81"/>
        <v>18.911999999999999</v>
      </c>
    </row>
    <row r="759" spans="2:12" ht="14.4" x14ac:dyDescent="0.25">
      <c r="B759" s="15" t="s">
        <v>504</v>
      </c>
      <c r="C759" s="11"/>
      <c r="D759" s="16">
        <v>1.75</v>
      </c>
      <c r="E759" s="479"/>
      <c r="F759" s="16">
        <v>3.94</v>
      </c>
      <c r="G759" s="478">
        <v>1</v>
      </c>
      <c r="H759" s="389">
        <f t="shared" si="80"/>
        <v>6.8949999999999996</v>
      </c>
      <c r="I759" s="17"/>
      <c r="J759" s="17"/>
      <c r="K759" s="50" t="s">
        <v>3</v>
      </c>
      <c r="L759" s="389">
        <f t="shared" si="81"/>
        <v>6.8949999999999996</v>
      </c>
    </row>
    <row r="760" spans="2:12" ht="14.4" x14ac:dyDescent="0.25">
      <c r="B760" s="15" t="s">
        <v>508</v>
      </c>
      <c r="C760" s="11"/>
      <c r="D760" s="16">
        <v>2.35</v>
      </c>
      <c r="E760" s="479"/>
      <c r="F760" s="16">
        <v>3.94</v>
      </c>
      <c r="G760" s="478">
        <v>1</v>
      </c>
      <c r="H760" s="389">
        <f t="shared" si="80"/>
        <v>9.2590000000000003</v>
      </c>
      <c r="I760" s="17"/>
      <c r="J760" s="17"/>
      <c r="K760" s="50" t="s">
        <v>3</v>
      </c>
      <c r="L760" s="389">
        <f t="shared" si="81"/>
        <v>9.2590000000000003</v>
      </c>
    </row>
    <row r="761" spans="2:12" ht="14.4" x14ac:dyDescent="0.25">
      <c r="B761" s="15" t="s">
        <v>509</v>
      </c>
      <c r="C761" s="11"/>
      <c r="D761" s="16">
        <v>2.78</v>
      </c>
      <c r="E761" s="479"/>
      <c r="F761" s="16">
        <v>3.94</v>
      </c>
      <c r="G761" s="478">
        <v>1</v>
      </c>
      <c r="H761" s="389">
        <f t="shared" si="80"/>
        <v>10.953199999999999</v>
      </c>
      <c r="I761" s="17"/>
      <c r="J761" s="17"/>
      <c r="K761" s="50" t="s">
        <v>3</v>
      </c>
      <c r="L761" s="389">
        <f t="shared" si="81"/>
        <v>10.953199999999999</v>
      </c>
    </row>
    <row r="762" spans="2:12" ht="14.4" x14ac:dyDescent="0.25">
      <c r="B762" s="15" t="s">
        <v>510</v>
      </c>
      <c r="C762" s="11"/>
      <c r="D762" s="16">
        <v>2.93</v>
      </c>
      <c r="E762" s="479"/>
      <c r="F762" s="16">
        <v>3.94</v>
      </c>
      <c r="G762" s="478">
        <v>1</v>
      </c>
      <c r="H762" s="389">
        <f t="shared" si="80"/>
        <v>11.5442</v>
      </c>
      <c r="I762" s="17"/>
      <c r="J762" s="17"/>
      <c r="K762" s="50" t="s">
        <v>3</v>
      </c>
      <c r="L762" s="389">
        <f t="shared" si="81"/>
        <v>11.5442</v>
      </c>
    </row>
    <row r="763" spans="2:12" ht="14.4" x14ac:dyDescent="0.25">
      <c r="B763" s="15" t="s">
        <v>511</v>
      </c>
      <c r="C763" s="11"/>
      <c r="D763" s="16">
        <v>3.15</v>
      </c>
      <c r="E763" s="479"/>
      <c r="F763" s="16">
        <v>3.94</v>
      </c>
      <c r="G763" s="478">
        <v>1</v>
      </c>
      <c r="H763" s="389">
        <f t="shared" si="80"/>
        <v>12.411</v>
      </c>
      <c r="I763" s="17"/>
      <c r="J763" s="17"/>
      <c r="K763" s="50" t="s">
        <v>3</v>
      </c>
      <c r="L763" s="389">
        <f t="shared" si="81"/>
        <v>12.411</v>
      </c>
    </row>
    <row r="764" spans="2:12" ht="14.4" x14ac:dyDescent="0.25">
      <c r="B764" s="15" t="s">
        <v>512</v>
      </c>
      <c r="C764" s="11"/>
      <c r="D764" s="16">
        <v>2.2000000000000002</v>
      </c>
      <c r="E764" s="479"/>
      <c r="F764" s="16">
        <v>3.94</v>
      </c>
      <c r="G764" s="478">
        <v>1</v>
      </c>
      <c r="H764" s="389">
        <f t="shared" si="80"/>
        <v>8.668000000000001</v>
      </c>
      <c r="I764" s="17"/>
      <c r="J764" s="17"/>
      <c r="K764" s="50" t="s">
        <v>3</v>
      </c>
      <c r="L764" s="389">
        <f t="shared" si="81"/>
        <v>8.668000000000001</v>
      </c>
    </row>
    <row r="765" spans="2:12" ht="14.4" x14ac:dyDescent="0.25">
      <c r="B765" s="15" t="s">
        <v>513</v>
      </c>
      <c r="C765" s="11"/>
      <c r="D765" s="16">
        <v>2.83</v>
      </c>
      <c r="E765" s="479"/>
      <c r="F765" s="16">
        <v>3.94</v>
      </c>
      <c r="G765" s="478">
        <v>1</v>
      </c>
      <c r="H765" s="389">
        <f t="shared" si="80"/>
        <v>11.1502</v>
      </c>
      <c r="I765" s="17"/>
      <c r="J765" s="17"/>
      <c r="K765" s="50" t="s">
        <v>3</v>
      </c>
      <c r="L765" s="389">
        <f t="shared" si="81"/>
        <v>11.1502</v>
      </c>
    </row>
    <row r="766" spans="2:12" ht="14.4" x14ac:dyDescent="0.25">
      <c r="B766" s="15" t="s">
        <v>515</v>
      </c>
      <c r="C766" s="11"/>
      <c r="D766" s="16">
        <v>2.78</v>
      </c>
      <c r="E766" s="479"/>
      <c r="F766" s="16">
        <v>3.94</v>
      </c>
      <c r="G766" s="478">
        <v>2</v>
      </c>
      <c r="H766" s="389">
        <f t="shared" si="80"/>
        <v>21.906399999999998</v>
      </c>
      <c r="I766" s="17"/>
      <c r="J766" s="17"/>
      <c r="K766" s="50" t="s">
        <v>3</v>
      </c>
      <c r="L766" s="389">
        <f t="shared" si="81"/>
        <v>21.906399999999998</v>
      </c>
    </row>
    <row r="767" spans="2:12" ht="14.4" x14ac:dyDescent="0.25">
      <c r="B767" s="15" t="s">
        <v>519</v>
      </c>
      <c r="C767" s="11"/>
      <c r="D767" s="16">
        <v>5.45</v>
      </c>
      <c r="E767" s="479"/>
      <c r="F767" s="16">
        <v>3.94</v>
      </c>
      <c r="G767" s="478">
        <v>1</v>
      </c>
      <c r="H767" s="389">
        <f t="shared" si="80"/>
        <v>21.472999999999999</v>
      </c>
      <c r="I767" s="17"/>
      <c r="J767" s="17"/>
      <c r="K767" s="50" t="s">
        <v>3</v>
      </c>
      <c r="L767" s="389">
        <f t="shared" si="81"/>
        <v>21.472999999999999</v>
      </c>
    </row>
    <row r="768" spans="2:12" ht="14.4" x14ac:dyDescent="0.25">
      <c r="B768" s="15" t="s">
        <v>521</v>
      </c>
      <c r="C768" s="11"/>
      <c r="D768" s="16">
        <v>2.0299999999999998</v>
      </c>
      <c r="E768" s="479"/>
      <c r="F768" s="16">
        <v>3.94</v>
      </c>
      <c r="G768" s="478">
        <v>1</v>
      </c>
      <c r="H768" s="389">
        <f t="shared" si="80"/>
        <v>7.9981999999999989</v>
      </c>
      <c r="I768" s="17"/>
      <c r="J768" s="17"/>
      <c r="K768" s="50" t="s">
        <v>3</v>
      </c>
      <c r="L768" s="389">
        <f t="shared" si="81"/>
        <v>7.9981999999999989</v>
      </c>
    </row>
    <row r="769" spans="2:12" ht="14.4" x14ac:dyDescent="0.25">
      <c r="B769" s="15" t="s">
        <v>523</v>
      </c>
      <c r="C769" s="11"/>
      <c r="D769" s="16">
        <v>5.33</v>
      </c>
      <c r="E769" s="479"/>
      <c r="F769" s="16">
        <v>3.94</v>
      </c>
      <c r="G769" s="478">
        <v>1</v>
      </c>
      <c r="H769" s="389">
        <f t="shared" si="80"/>
        <v>21.0002</v>
      </c>
      <c r="I769" s="17"/>
      <c r="J769" s="17"/>
      <c r="K769" s="50" t="s">
        <v>3</v>
      </c>
      <c r="L769" s="389">
        <f t="shared" si="81"/>
        <v>21.0002</v>
      </c>
    </row>
    <row r="770" spans="2:12" ht="14.4" x14ac:dyDescent="0.25">
      <c r="B770" s="15" t="s">
        <v>524</v>
      </c>
      <c r="C770" s="11"/>
      <c r="D770" s="16">
        <v>1.75</v>
      </c>
      <c r="E770" s="479"/>
      <c r="F770" s="16">
        <v>3.94</v>
      </c>
      <c r="G770" s="478">
        <v>1</v>
      </c>
      <c r="H770" s="389">
        <f>D770*F770*G770-I770</f>
        <v>6.8949999999999996</v>
      </c>
      <c r="I770" s="17"/>
      <c r="J770" s="17"/>
      <c r="K770" s="50" t="s">
        <v>3</v>
      </c>
      <c r="L770" s="389">
        <f t="shared" si="81"/>
        <v>6.8949999999999996</v>
      </c>
    </row>
    <row r="771" spans="2:12" ht="14.4" x14ac:dyDescent="0.25">
      <c r="B771" s="15" t="s">
        <v>527</v>
      </c>
      <c r="C771" s="11"/>
      <c r="D771" s="16">
        <v>2.94</v>
      </c>
      <c r="E771" s="479"/>
      <c r="F771" s="16">
        <v>3.94</v>
      </c>
      <c r="G771" s="478">
        <v>1</v>
      </c>
      <c r="H771" s="389">
        <f>D771*F771*G771-I771</f>
        <v>11.583599999999999</v>
      </c>
      <c r="I771" s="17"/>
      <c r="J771" s="17"/>
      <c r="K771" s="50" t="s">
        <v>3</v>
      </c>
      <c r="L771" s="389">
        <f t="shared" si="81"/>
        <v>11.583599999999999</v>
      </c>
    </row>
    <row r="772" spans="2:12" ht="14.4" customHeight="1" x14ac:dyDescent="0.25">
      <c r="B772" s="15" t="s">
        <v>528</v>
      </c>
      <c r="C772" s="11"/>
      <c r="D772" s="16">
        <v>2.44</v>
      </c>
      <c r="E772" s="479"/>
      <c r="F772" s="16">
        <v>3.94</v>
      </c>
      <c r="G772" s="478">
        <v>1</v>
      </c>
      <c r="H772" s="389">
        <f t="shared" ref="H772:H800" si="82">D772*F772*G772-I772</f>
        <v>9.6135999999999999</v>
      </c>
      <c r="I772" s="17"/>
      <c r="J772" s="17"/>
      <c r="K772" s="50" t="s">
        <v>3</v>
      </c>
      <c r="L772" s="389">
        <f t="shared" si="81"/>
        <v>9.6135999999999999</v>
      </c>
    </row>
    <row r="773" spans="2:12" ht="14.4" x14ac:dyDescent="0.25">
      <c r="B773" s="15" t="s">
        <v>530</v>
      </c>
      <c r="C773" s="11"/>
      <c r="D773" s="16">
        <v>0.91</v>
      </c>
      <c r="E773" s="479"/>
      <c r="F773" s="16">
        <v>3.94</v>
      </c>
      <c r="G773" s="478">
        <v>2</v>
      </c>
      <c r="H773" s="389">
        <f t="shared" si="82"/>
        <v>7.1707999999999998</v>
      </c>
      <c r="I773" s="17"/>
      <c r="J773" s="17"/>
      <c r="K773" s="50" t="s">
        <v>3</v>
      </c>
      <c r="L773" s="389">
        <f t="shared" si="81"/>
        <v>7.1707999999999998</v>
      </c>
    </row>
    <row r="774" spans="2:12" ht="14.4" x14ac:dyDescent="0.25">
      <c r="B774" s="15" t="s">
        <v>531</v>
      </c>
      <c r="C774" s="11"/>
      <c r="D774" s="16">
        <v>2.5</v>
      </c>
      <c r="E774" s="479"/>
      <c r="F774" s="16">
        <v>3.94</v>
      </c>
      <c r="G774" s="478">
        <v>2</v>
      </c>
      <c r="H774" s="389">
        <f t="shared" si="82"/>
        <v>19.7</v>
      </c>
      <c r="I774" s="17"/>
      <c r="J774" s="17"/>
      <c r="K774" s="50" t="s">
        <v>3</v>
      </c>
      <c r="L774" s="389">
        <f t="shared" si="81"/>
        <v>19.7</v>
      </c>
    </row>
    <row r="775" spans="2:12" ht="14.4" x14ac:dyDescent="0.25">
      <c r="B775" s="15" t="s">
        <v>532</v>
      </c>
      <c r="C775" s="11"/>
      <c r="D775" s="16">
        <v>6.32</v>
      </c>
      <c r="E775" s="479"/>
      <c r="F775" s="16">
        <v>3.94</v>
      </c>
      <c r="G775" s="478">
        <v>2</v>
      </c>
      <c r="H775" s="389">
        <f t="shared" si="82"/>
        <v>49.801600000000001</v>
      </c>
      <c r="I775" s="17"/>
      <c r="J775" s="17"/>
      <c r="K775" s="50" t="s">
        <v>3</v>
      </c>
      <c r="L775" s="389">
        <f t="shared" si="81"/>
        <v>49.801600000000001</v>
      </c>
    </row>
    <row r="776" spans="2:12" ht="14.4" x14ac:dyDescent="0.25">
      <c r="B776" s="480" t="s">
        <v>533</v>
      </c>
      <c r="C776" s="11"/>
      <c r="D776" s="16">
        <v>3.46</v>
      </c>
      <c r="E776" s="479"/>
      <c r="F776" s="16">
        <v>3.94</v>
      </c>
      <c r="G776" s="478">
        <v>1</v>
      </c>
      <c r="H776" s="389">
        <f t="shared" si="82"/>
        <v>13.632400000000001</v>
      </c>
      <c r="I776" s="17"/>
      <c r="J776" s="17"/>
      <c r="K776" s="50" t="s">
        <v>3</v>
      </c>
      <c r="L776" s="389">
        <f t="shared" si="81"/>
        <v>13.632400000000001</v>
      </c>
    </row>
    <row r="777" spans="2:12" ht="14.4" x14ac:dyDescent="0.25">
      <c r="B777" s="480" t="s">
        <v>536</v>
      </c>
      <c r="C777" s="11"/>
      <c r="D777" s="16">
        <v>2.73</v>
      </c>
      <c r="E777" s="479"/>
      <c r="F777" s="16">
        <v>3.94</v>
      </c>
      <c r="G777" s="478">
        <v>1</v>
      </c>
      <c r="H777" s="389">
        <f t="shared" si="82"/>
        <v>10.7562</v>
      </c>
      <c r="I777" s="17"/>
      <c r="J777" s="17"/>
      <c r="K777" s="50" t="s">
        <v>3</v>
      </c>
      <c r="L777" s="389">
        <f t="shared" si="81"/>
        <v>10.7562</v>
      </c>
    </row>
    <row r="778" spans="2:12" ht="14.4" customHeight="1" x14ac:dyDescent="0.25">
      <c r="B778" s="480" t="s">
        <v>538</v>
      </c>
      <c r="C778" s="11"/>
      <c r="D778" s="16">
        <v>2.29</v>
      </c>
      <c r="E778" s="479"/>
      <c r="F778" s="16">
        <v>3.94</v>
      </c>
      <c r="G778" s="478">
        <v>1</v>
      </c>
      <c r="H778" s="389">
        <f t="shared" si="82"/>
        <v>9.0226000000000006</v>
      </c>
      <c r="I778" s="17"/>
      <c r="J778" s="17"/>
      <c r="K778" s="50" t="s">
        <v>3</v>
      </c>
      <c r="L778" s="389">
        <f t="shared" si="81"/>
        <v>9.0226000000000006</v>
      </c>
    </row>
    <row r="779" spans="2:12" ht="14.4" x14ac:dyDescent="0.25">
      <c r="B779" s="480" t="s">
        <v>539</v>
      </c>
      <c r="C779" s="11"/>
      <c r="D779" s="16">
        <v>3.03</v>
      </c>
      <c r="E779" s="479"/>
      <c r="F779" s="16">
        <v>3.94</v>
      </c>
      <c r="G779" s="478">
        <v>1</v>
      </c>
      <c r="H779" s="389">
        <f t="shared" si="82"/>
        <v>11.938199999999998</v>
      </c>
      <c r="I779" s="17"/>
      <c r="J779" s="17"/>
      <c r="K779" s="50" t="s">
        <v>3</v>
      </c>
      <c r="L779" s="389">
        <f t="shared" si="81"/>
        <v>11.938199999999998</v>
      </c>
    </row>
    <row r="780" spans="2:12" ht="14.4" x14ac:dyDescent="0.25">
      <c r="B780" s="480" t="s">
        <v>542</v>
      </c>
      <c r="C780" s="11"/>
      <c r="D780" s="16">
        <v>3.62</v>
      </c>
      <c r="E780" s="479"/>
      <c r="F780" s="16">
        <v>3.94</v>
      </c>
      <c r="G780" s="478">
        <v>1</v>
      </c>
      <c r="H780" s="389">
        <f t="shared" si="82"/>
        <v>14.2628</v>
      </c>
      <c r="I780" s="17"/>
      <c r="J780" s="17"/>
      <c r="K780" s="50" t="s">
        <v>3</v>
      </c>
      <c r="L780" s="389">
        <f t="shared" si="81"/>
        <v>14.2628</v>
      </c>
    </row>
    <row r="781" spans="2:12" ht="14.4" x14ac:dyDescent="0.25">
      <c r="B781" s="480" t="s">
        <v>545</v>
      </c>
      <c r="C781" s="11"/>
      <c r="D781" s="16">
        <v>5.8</v>
      </c>
      <c r="E781" s="479"/>
      <c r="F781" s="16">
        <v>3.94</v>
      </c>
      <c r="G781" s="478">
        <v>1</v>
      </c>
      <c r="H781" s="389">
        <f t="shared" si="82"/>
        <v>22.852</v>
      </c>
      <c r="I781" s="17"/>
      <c r="J781" s="17"/>
      <c r="K781" s="50" t="s">
        <v>3</v>
      </c>
      <c r="L781" s="389">
        <f t="shared" si="81"/>
        <v>22.852</v>
      </c>
    </row>
    <row r="782" spans="2:12" ht="14.4" x14ac:dyDescent="0.25">
      <c r="B782" s="480" t="s">
        <v>547</v>
      </c>
      <c r="C782" s="11"/>
      <c r="D782" s="16">
        <v>1.9</v>
      </c>
      <c r="E782" s="479"/>
      <c r="F782" s="16">
        <v>3.94</v>
      </c>
      <c r="G782" s="478">
        <v>1</v>
      </c>
      <c r="H782" s="389">
        <f t="shared" si="82"/>
        <v>7.4859999999999998</v>
      </c>
      <c r="I782" s="17"/>
      <c r="J782" s="17"/>
      <c r="K782" s="50" t="s">
        <v>3</v>
      </c>
      <c r="L782" s="389">
        <f t="shared" si="81"/>
        <v>7.4859999999999998</v>
      </c>
    </row>
    <row r="783" spans="2:12" ht="14.4" x14ac:dyDescent="0.25">
      <c r="B783" s="480" t="s">
        <v>549</v>
      </c>
      <c r="C783" s="11"/>
      <c r="D783" s="16">
        <v>5.45</v>
      </c>
      <c r="E783" s="479"/>
      <c r="F783" s="16">
        <v>3.94</v>
      </c>
      <c r="G783" s="478">
        <v>1</v>
      </c>
      <c r="H783" s="389">
        <f t="shared" si="82"/>
        <v>21.472999999999999</v>
      </c>
      <c r="I783" s="17"/>
      <c r="J783" s="17"/>
      <c r="K783" s="50" t="s">
        <v>3</v>
      </c>
      <c r="L783" s="389">
        <f t="shared" si="81"/>
        <v>21.472999999999999</v>
      </c>
    </row>
    <row r="784" spans="2:12" ht="14.4" x14ac:dyDescent="0.25">
      <c r="B784" s="480" t="s">
        <v>553</v>
      </c>
      <c r="C784" s="11"/>
      <c r="D784" s="16">
        <v>1.75</v>
      </c>
      <c r="E784" s="479"/>
      <c r="F784" s="16">
        <v>3.94</v>
      </c>
      <c r="G784" s="478">
        <v>1</v>
      </c>
      <c r="H784" s="389">
        <f t="shared" si="82"/>
        <v>6.8949999999999996</v>
      </c>
      <c r="I784" s="17"/>
      <c r="J784" s="17"/>
      <c r="K784" s="50" t="s">
        <v>3</v>
      </c>
      <c r="L784" s="389">
        <f t="shared" si="81"/>
        <v>6.8949999999999996</v>
      </c>
    </row>
    <row r="785" spans="2:12" ht="14.4" x14ac:dyDescent="0.25">
      <c r="B785" s="480" t="s">
        <v>555</v>
      </c>
      <c r="C785" s="11"/>
      <c r="D785" s="16">
        <v>2</v>
      </c>
      <c r="E785" s="479"/>
      <c r="F785" s="16">
        <v>3.94</v>
      </c>
      <c r="G785" s="478">
        <v>1</v>
      </c>
      <c r="H785" s="389">
        <f t="shared" si="82"/>
        <v>7.88</v>
      </c>
      <c r="I785" s="17"/>
      <c r="J785" s="17"/>
      <c r="K785" s="50" t="s">
        <v>3</v>
      </c>
      <c r="L785" s="389">
        <f t="shared" si="81"/>
        <v>7.88</v>
      </c>
    </row>
    <row r="786" spans="2:12" ht="14.4" x14ac:dyDescent="0.25">
      <c r="B786" s="480" t="s">
        <v>557</v>
      </c>
      <c r="C786" s="11"/>
      <c r="D786" s="16">
        <v>2.15</v>
      </c>
      <c r="E786" s="479"/>
      <c r="F786" s="16">
        <v>3.94</v>
      </c>
      <c r="G786" s="478">
        <v>1</v>
      </c>
      <c r="H786" s="389">
        <f t="shared" si="82"/>
        <v>8.4710000000000001</v>
      </c>
      <c r="I786" s="17"/>
      <c r="J786" s="17"/>
      <c r="K786" s="50" t="s">
        <v>3</v>
      </c>
      <c r="L786" s="389">
        <f t="shared" si="81"/>
        <v>8.4710000000000001</v>
      </c>
    </row>
    <row r="787" spans="2:12" ht="14.4" x14ac:dyDescent="0.25">
      <c r="B787" s="480" t="s">
        <v>559</v>
      </c>
      <c r="C787" s="11"/>
      <c r="D787" s="16">
        <v>4.1500000000000004</v>
      </c>
      <c r="E787" s="479"/>
      <c r="F787" s="16">
        <v>3.94</v>
      </c>
      <c r="G787" s="478">
        <v>1</v>
      </c>
      <c r="H787" s="389">
        <f t="shared" si="82"/>
        <v>16.351000000000003</v>
      </c>
      <c r="I787" s="17"/>
      <c r="J787" s="17"/>
      <c r="K787" s="50" t="s">
        <v>3</v>
      </c>
      <c r="L787" s="389">
        <f t="shared" si="81"/>
        <v>16.351000000000003</v>
      </c>
    </row>
    <row r="788" spans="2:12" ht="14.4" x14ac:dyDescent="0.25">
      <c r="B788" s="480" t="s">
        <v>561</v>
      </c>
      <c r="C788" s="11"/>
      <c r="D788" s="16">
        <v>2.15</v>
      </c>
      <c r="E788" s="479"/>
      <c r="F788" s="16">
        <v>3.94</v>
      </c>
      <c r="G788" s="478">
        <v>1</v>
      </c>
      <c r="H788" s="389">
        <f t="shared" si="82"/>
        <v>8.4710000000000001</v>
      </c>
      <c r="I788" s="17"/>
      <c r="J788" s="17"/>
      <c r="K788" s="50" t="s">
        <v>3</v>
      </c>
      <c r="L788" s="389">
        <f t="shared" si="81"/>
        <v>8.4710000000000001</v>
      </c>
    </row>
    <row r="789" spans="2:12" ht="14.4" x14ac:dyDescent="0.25">
      <c r="B789" s="480" t="s">
        <v>569</v>
      </c>
      <c r="C789" s="11"/>
      <c r="D789" s="16">
        <v>2.15</v>
      </c>
      <c r="E789" s="479"/>
      <c r="F789" s="16">
        <v>3.94</v>
      </c>
      <c r="G789" s="478">
        <v>1</v>
      </c>
      <c r="H789" s="389">
        <f t="shared" si="82"/>
        <v>8.4710000000000001</v>
      </c>
      <c r="I789" s="17"/>
      <c r="J789" s="17"/>
      <c r="K789" s="50" t="s">
        <v>3</v>
      </c>
      <c r="L789" s="389">
        <f t="shared" si="81"/>
        <v>8.4710000000000001</v>
      </c>
    </row>
    <row r="790" spans="2:12" ht="14.4" x14ac:dyDescent="0.25">
      <c r="B790" s="480" t="s">
        <v>596</v>
      </c>
      <c r="C790" s="11"/>
      <c r="D790" s="16">
        <v>1.75</v>
      </c>
      <c r="E790" s="479"/>
      <c r="F790" s="16">
        <v>3.94</v>
      </c>
      <c r="G790" s="478">
        <v>1</v>
      </c>
      <c r="H790" s="389">
        <f t="shared" si="82"/>
        <v>6.8949999999999996</v>
      </c>
      <c r="I790" s="17"/>
      <c r="J790" s="17"/>
      <c r="K790" s="50" t="s">
        <v>3</v>
      </c>
      <c r="L790" s="389">
        <f t="shared" si="81"/>
        <v>6.8949999999999996</v>
      </c>
    </row>
    <row r="791" spans="2:12" ht="14.4" x14ac:dyDescent="0.25">
      <c r="B791" s="480" t="s">
        <v>602</v>
      </c>
      <c r="C791" s="11"/>
      <c r="D791" s="16">
        <v>2.67</v>
      </c>
      <c r="E791" s="479"/>
      <c r="F791" s="16">
        <v>3.94</v>
      </c>
      <c r="G791" s="478">
        <v>2</v>
      </c>
      <c r="H791" s="389">
        <f t="shared" si="82"/>
        <v>21.0396</v>
      </c>
      <c r="I791" s="17"/>
      <c r="J791" s="17"/>
      <c r="K791" s="50" t="s">
        <v>3</v>
      </c>
      <c r="L791" s="389">
        <f t="shared" si="81"/>
        <v>21.0396</v>
      </c>
    </row>
    <row r="792" spans="2:12" ht="14.4" x14ac:dyDescent="0.25">
      <c r="B792" s="480" t="s">
        <v>593</v>
      </c>
      <c r="C792" s="11"/>
      <c r="D792" s="16">
        <v>2.02</v>
      </c>
      <c r="E792" s="479"/>
      <c r="F792" s="16">
        <v>3.94</v>
      </c>
      <c r="G792" s="478">
        <v>1</v>
      </c>
      <c r="H792" s="389">
        <f t="shared" si="82"/>
        <v>7.9588000000000001</v>
      </c>
      <c r="I792" s="17"/>
      <c r="J792" s="17"/>
      <c r="K792" s="50" t="s">
        <v>3</v>
      </c>
      <c r="L792" s="389">
        <f t="shared" si="81"/>
        <v>7.9588000000000001</v>
      </c>
    </row>
    <row r="793" spans="2:12" ht="14.4" x14ac:dyDescent="0.25">
      <c r="B793" s="480" t="s">
        <v>610</v>
      </c>
      <c r="C793" s="11"/>
      <c r="D793" s="16">
        <v>1.35</v>
      </c>
      <c r="E793" s="479"/>
      <c r="F793" s="16">
        <v>3.94</v>
      </c>
      <c r="G793" s="478">
        <v>2</v>
      </c>
      <c r="H793" s="389">
        <f t="shared" si="82"/>
        <v>10.638</v>
      </c>
      <c r="I793" s="17"/>
      <c r="J793" s="17"/>
      <c r="K793" s="50" t="s">
        <v>3</v>
      </c>
      <c r="L793" s="389">
        <f t="shared" si="81"/>
        <v>10.638</v>
      </c>
    </row>
    <row r="794" spans="2:12" ht="14.4" x14ac:dyDescent="0.25">
      <c r="B794" s="480" t="s">
        <v>604</v>
      </c>
      <c r="C794" s="11"/>
      <c r="D794" s="16">
        <v>2.64</v>
      </c>
      <c r="E794" s="479"/>
      <c r="F794" s="16">
        <v>3.94</v>
      </c>
      <c r="G794" s="478">
        <v>1</v>
      </c>
      <c r="H794" s="389">
        <f t="shared" si="82"/>
        <v>10.4016</v>
      </c>
      <c r="I794" s="17"/>
      <c r="J794" s="17"/>
      <c r="K794" s="50" t="s">
        <v>3</v>
      </c>
      <c r="L794" s="389">
        <f t="shared" si="81"/>
        <v>10.4016</v>
      </c>
    </row>
    <row r="795" spans="2:12" ht="14.4" x14ac:dyDescent="0.25">
      <c r="B795" s="480" t="s">
        <v>605</v>
      </c>
      <c r="C795" s="11"/>
      <c r="D795" s="16">
        <v>2.02</v>
      </c>
      <c r="E795" s="479"/>
      <c r="F795" s="16">
        <v>3.94</v>
      </c>
      <c r="G795" s="478">
        <v>2</v>
      </c>
      <c r="H795" s="389">
        <f t="shared" si="82"/>
        <v>15.9176</v>
      </c>
      <c r="I795" s="17"/>
      <c r="J795" s="17"/>
      <c r="K795" s="50" t="s">
        <v>3</v>
      </c>
      <c r="L795" s="389">
        <f t="shared" si="81"/>
        <v>15.9176</v>
      </c>
    </row>
    <row r="796" spans="2:12" ht="14.4" x14ac:dyDescent="0.25">
      <c r="B796" s="480" t="s">
        <v>606</v>
      </c>
      <c r="C796" s="11"/>
      <c r="D796" s="16">
        <v>1.35</v>
      </c>
      <c r="E796" s="479"/>
      <c r="F796" s="16">
        <v>3.94</v>
      </c>
      <c r="G796" s="478">
        <v>2</v>
      </c>
      <c r="H796" s="389">
        <f t="shared" si="82"/>
        <v>10.638</v>
      </c>
      <c r="I796" s="17"/>
      <c r="J796" s="17"/>
      <c r="K796" s="50" t="s">
        <v>3</v>
      </c>
      <c r="L796" s="389">
        <f t="shared" si="81"/>
        <v>10.638</v>
      </c>
    </row>
    <row r="797" spans="2:12" ht="14.4" x14ac:dyDescent="0.25">
      <c r="B797" s="480" t="s">
        <v>608</v>
      </c>
      <c r="C797" s="11"/>
      <c r="D797" s="16">
        <v>5</v>
      </c>
      <c r="E797" s="479"/>
      <c r="F797" s="16">
        <v>3.94</v>
      </c>
      <c r="G797" s="478">
        <v>1</v>
      </c>
      <c r="H797" s="389">
        <f t="shared" si="82"/>
        <v>19.7</v>
      </c>
      <c r="I797" s="17"/>
      <c r="J797" s="17"/>
      <c r="K797" s="50" t="s">
        <v>3</v>
      </c>
      <c r="L797" s="389">
        <f t="shared" si="81"/>
        <v>19.7</v>
      </c>
    </row>
    <row r="798" spans="2:12" ht="14.4" x14ac:dyDescent="0.25">
      <c r="B798" s="480" t="s">
        <v>640</v>
      </c>
      <c r="C798" s="11"/>
      <c r="D798" s="16">
        <v>5.15</v>
      </c>
      <c r="E798" s="479"/>
      <c r="F798" s="16">
        <v>3.94</v>
      </c>
      <c r="G798" s="478">
        <v>1</v>
      </c>
      <c r="H798" s="389">
        <f t="shared" si="82"/>
        <v>12.731000000000002</v>
      </c>
      <c r="I798" s="17">
        <v>7.56</v>
      </c>
      <c r="J798" s="17"/>
      <c r="K798" s="50" t="s">
        <v>3</v>
      </c>
      <c r="L798" s="389">
        <f t="shared" si="81"/>
        <v>12.731000000000002</v>
      </c>
    </row>
    <row r="799" spans="2:12" ht="14.4" x14ac:dyDescent="0.25">
      <c r="B799" s="480" t="s">
        <v>634</v>
      </c>
      <c r="C799" s="11"/>
      <c r="D799" s="16">
        <v>2.02</v>
      </c>
      <c r="E799" s="479"/>
      <c r="F799" s="16">
        <v>3.94</v>
      </c>
      <c r="G799" s="478">
        <v>1</v>
      </c>
      <c r="H799" s="389">
        <f t="shared" si="82"/>
        <v>7.9588000000000001</v>
      </c>
      <c r="I799" s="17"/>
      <c r="J799" s="17"/>
      <c r="K799" s="50" t="s">
        <v>3</v>
      </c>
      <c r="L799" s="389">
        <f t="shared" si="81"/>
        <v>7.9588000000000001</v>
      </c>
    </row>
    <row r="800" spans="2:12" ht="14.4" x14ac:dyDescent="0.25">
      <c r="B800" s="480" t="s">
        <v>635</v>
      </c>
      <c r="C800" s="11"/>
      <c r="D800" s="16">
        <v>1.54</v>
      </c>
      <c r="E800" s="479"/>
      <c r="F800" s="16">
        <v>3.94</v>
      </c>
      <c r="G800" s="478">
        <v>1</v>
      </c>
      <c r="H800" s="389">
        <f t="shared" si="82"/>
        <v>6.0675999999999997</v>
      </c>
      <c r="I800" s="17"/>
      <c r="J800" s="17"/>
      <c r="K800" s="50" t="s">
        <v>3</v>
      </c>
      <c r="L800" s="389">
        <f t="shared" si="81"/>
        <v>6.0675999999999997</v>
      </c>
    </row>
    <row r="801" spans="2:12" ht="14.4" x14ac:dyDescent="0.25">
      <c r="B801" s="21" t="s">
        <v>563</v>
      </c>
      <c r="C801" s="12"/>
      <c r="D801" s="35">
        <f>SUM(D747:D800)</f>
        <v>151.13000000000005</v>
      </c>
      <c r="E801" s="18"/>
      <c r="F801" s="10"/>
      <c r="G801" s="22"/>
      <c r="H801" s="19"/>
      <c r="I801" s="19"/>
      <c r="J801" s="19"/>
      <c r="K801" s="23" t="s">
        <v>3</v>
      </c>
      <c r="L801" s="499">
        <f>SUM(L747:L800)</f>
        <v>685.9982</v>
      </c>
    </row>
    <row r="802" spans="2:12" ht="14.4" customHeight="1" x14ac:dyDescent="0.25">
      <c r="B802" s="822" t="s">
        <v>1</v>
      </c>
      <c r="C802" s="55" t="s">
        <v>0</v>
      </c>
      <c r="D802" s="52" t="s">
        <v>12</v>
      </c>
      <c r="E802" s="52" t="s">
        <v>4</v>
      </c>
      <c r="F802" s="52" t="s">
        <v>2</v>
      </c>
      <c r="G802" s="52" t="s">
        <v>6</v>
      </c>
      <c r="H802" s="148" t="s">
        <v>5</v>
      </c>
      <c r="I802" s="56" t="s">
        <v>13</v>
      </c>
      <c r="J802" s="148" t="s">
        <v>14</v>
      </c>
      <c r="K802" s="822" t="s">
        <v>7</v>
      </c>
      <c r="L802" s="824" t="s">
        <v>8</v>
      </c>
    </row>
    <row r="803" spans="2:12" ht="14.4" x14ac:dyDescent="0.3">
      <c r="B803" s="823"/>
      <c r="C803" s="80" t="s">
        <v>9</v>
      </c>
      <c r="D803" s="81" t="s">
        <v>10</v>
      </c>
      <c r="E803" s="81" t="s">
        <v>10</v>
      </c>
      <c r="F803" s="81" t="s">
        <v>10</v>
      </c>
      <c r="G803" s="80" t="s">
        <v>9</v>
      </c>
      <c r="H803" s="82" t="s">
        <v>11</v>
      </c>
      <c r="I803" s="113" t="s">
        <v>11</v>
      </c>
      <c r="J803" s="82" t="s">
        <v>15</v>
      </c>
      <c r="K803" s="823"/>
      <c r="L803" s="825"/>
    </row>
    <row r="804" spans="2:12" ht="14.4" x14ac:dyDescent="0.3">
      <c r="B804" s="20" t="s">
        <v>698</v>
      </c>
      <c r="C804" s="381"/>
      <c r="D804" s="382"/>
      <c r="E804" s="382"/>
      <c r="F804" s="382"/>
      <c r="G804" s="381"/>
      <c r="H804" s="383"/>
      <c r="I804" s="384"/>
      <c r="J804" s="383"/>
      <c r="K804" s="383"/>
      <c r="L804" s="7"/>
    </row>
    <row r="805" spans="2:12" ht="14.4" x14ac:dyDescent="0.25">
      <c r="B805" s="217" t="s">
        <v>541</v>
      </c>
      <c r="C805" s="398"/>
      <c r="D805" s="389">
        <v>3.4</v>
      </c>
      <c r="E805" s="389"/>
      <c r="F805" s="389">
        <v>1</v>
      </c>
      <c r="G805" s="390">
        <v>1</v>
      </c>
      <c r="H805" s="389">
        <f t="shared" ref="H805:H807" si="83">D805*F805*G805-I805</f>
        <v>3.4</v>
      </c>
      <c r="I805" s="481"/>
      <c r="J805" s="399"/>
      <c r="K805" s="399" t="s">
        <v>3</v>
      </c>
      <c r="L805" s="389">
        <f t="shared" ref="L805:L807" si="84">H805</f>
        <v>3.4</v>
      </c>
    </row>
    <row r="806" spans="2:12" ht="14.4" x14ac:dyDescent="0.25">
      <c r="B806" s="217" t="s">
        <v>551</v>
      </c>
      <c r="C806" s="398"/>
      <c r="D806" s="389">
        <v>2.7</v>
      </c>
      <c r="E806" s="389"/>
      <c r="F806" s="389">
        <v>1</v>
      </c>
      <c r="G806" s="390">
        <v>1</v>
      </c>
      <c r="H806" s="389">
        <f t="shared" si="83"/>
        <v>2.7</v>
      </c>
      <c r="I806" s="481"/>
      <c r="J806" s="399"/>
      <c r="K806" s="399" t="s">
        <v>3</v>
      </c>
      <c r="L806" s="389">
        <f t="shared" si="84"/>
        <v>2.7</v>
      </c>
    </row>
    <row r="807" spans="2:12" ht="14.4" x14ac:dyDescent="0.25">
      <c r="B807" s="217" t="s">
        <v>552</v>
      </c>
      <c r="C807" s="398"/>
      <c r="D807" s="389">
        <v>0.51</v>
      </c>
      <c r="E807" s="389"/>
      <c r="F807" s="389">
        <v>1</v>
      </c>
      <c r="G807" s="390">
        <v>1</v>
      </c>
      <c r="H807" s="389">
        <f t="shared" si="83"/>
        <v>0.51</v>
      </c>
      <c r="I807" s="481"/>
      <c r="J807" s="399"/>
      <c r="K807" s="399" t="s">
        <v>3</v>
      </c>
      <c r="L807" s="389">
        <f t="shared" si="84"/>
        <v>0.51</v>
      </c>
    </row>
    <row r="808" spans="2:12" ht="14.4" x14ac:dyDescent="0.25">
      <c r="B808" s="21" t="s">
        <v>563</v>
      </c>
      <c r="C808" s="12"/>
      <c r="D808" s="35">
        <f>SUM(D805:D807)</f>
        <v>6.6099999999999994</v>
      </c>
      <c r="E808" s="459"/>
      <c r="F808" s="10"/>
      <c r="G808" s="22"/>
      <c r="H808" s="19"/>
      <c r="I808" s="19"/>
      <c r="J808" s="19"/>
      <c r="K808" s="23" t="s">
        <v>3</v>
      </c>
      <c r="L808" s="13">
        <f>SUM(L805:L807)</f>
        <v>6.6099999999999994</v>
      </c>
    </row>
    <row r="809" spans="2:12" ht="14.4" x14ac:dyDescent="0.3">
      <c r="B809" s="20" t="s">
        <v>702</v>
      </c>
      <c r="C809" s="381"/>
      <c r="D809" s="382"/>
      <c r="E809" s="382"/>
      <c r="F809" s="382"/>
      <c r="G809" s="381"/>
      <c r="H809" s="383"/>
      <c r="I809" s="384"/>
      <c r="J809" s="383"/>
      <c r="K809" s="383"/>
      <c r="L809" s="7"/>
    </row>
    <row r="810" spans="2:12" ht="14.4" x14ac:dyDescent="0.25">
      <c r="B810" s="217" t="s">
        <v>636</v>
      </c>
      <c r="C810" s="398"/>
      <c r="D810" s="389">
        <v>3.77</v>
      </c>
      <c r="E810" s="389"/>
      <c r="F810" s="389">
        <v>3.4</v>
      </c>
      <c r="G810" s="390">
        <v>2</v>
      </c>
      <c r="H810" s="389">
        <f t="shared" ref="H810:H814" si="85">D810*F810*G810-I810</f>
        <v>25.635999999999999</v>
      </c>
      <c r="I810" s="481"/>
      <c r="J810" s="399"/>
      <c r="K810" s="399" t="s">
        <v>3</v>
      </c>
      <c r="L810" s="389">
        <f t="shared" ref="L810:L814" si="86">H810</f>
        <v>25.635999999999999</v>
      </c>
    </row>
    <row r="811" spans="2:12" ht="14.4" x14ac:dyDescent="0.25">
      <c r="B811" s="217" t="s">
        <v>642</v>
      </c>
      <c r="C811" s="398"/>
      <c r="D811" s="389">
        <v>2.78</v>
      </c>
      <c r="E811" s="389"/>
      <c r="F811" s="389">
        <v>3.4</v>
      </c>
      <c r="G811" s="390">
        <v>2</v>
      </c>
      <c r="H811" s="389">
        <f t="shared" si="85"/>
        <v>18.904</v>
      </c>
      <c r="I811" s="481"/>
      <c r="J811" s="399"/>
      <c r="K811" s="399" t="s">
        <v>3</v>
      </c>
      <c r="L811" s="389">
        <f t="shared" si="86"/>
        <v>18.904</v>
      </c>
    </row>
    <row r="812" spans="2:12" ht="14.4" x14ac:dyDescent="0.25">
      <c r="B812" s="217" t="s">
        <v>637</v>
      </c>
      <c r="C812" s="398"/>
      <c r="D812" s="389">
        <v>2.2799999999999998</v>
      </c>
      <c r="E812" s="389"/>
      <c r="F812" s="389">
        <v>3.45</v>
      </c>
      <c r="G812" s="390">
        <v>1</v>
      </c>
      <c r="H812" s="389">
        <f t="shared" si="85"/>
        <v>7.8659999999999997</v>
      </c>
      <c r="I812" s="481"/>
      <c r="J812" s="399"/>
      <c r="K812" s="399" t="s">
        <v>3</v>
      </c>
      <c r="L812" s="389">
        <f t="shared" si="86"/>
        <v>7.8659999999999997</v>
      </c>
    </row>
    <row r="813" spans="2:12" ht="14.4" x14ac:dyDescent="0.25">
      <c r="B813" s="217" t="s">
        <v>643</v>
      </c>
      <c r="C813" s="398"/>
      <c r="D813" s="389">
        <v>2.89</v>
      </c>
      <c r="E813" s="389"/>
      <c r="F813" s="389">
        <v>3.45</v>
      </c>
      <c r="G813" s="390">
        <v>1</v>
      </c>
      <c r="H813" s="389">
        <f t="shared" si="85"/>
        <v>9.9705000000000013</v>
      </c>
      <c r="I813" s="481"/>
      <c r="J813" s="399"/>
      <c r="K813" s="399" t="s">
        <v>3</v>
      </c>
      <c r="L813" s="389">
        <f t="shared" si="86"/>
        <v>9.9705000000000013</v>
      </c>
    </row>
    <row r="814" spans="2:12" ht="14.4" x14ac:dyDescent="0.25">
      <c r="B814" s="217" t="s">
        <v>742</v>
      </c>
      <c r="C814" s="398"/>
      <c r="D814" s="389">
        <v>2.75</v>
      </c>
      <c r="E814" s="389"/>
      <c r="F814" s="389">
        <v>3.4</v>
      </c>
      <c r="G814" s="390">
        <v>1</v>
      </c>
      <c r="H814" s="389">
        <f t="shared" si="85"/>
        <v>9.35</v>
      </c>
      <c r="I814" s="481"/>
      <c r="J814" s="399"/>
      <c r="K814" s="399" t="s">
        <v>3</v>
      </c>
      <c r="L814" s="389">
        <f t="shared" si="86"/>
        <v>9.35</v>
      </c>
    </row>
    <row r="815" spans="2:12" ht="14.4" x14ac:dyDescent="0.25">
      <c r="B815" s="21" t="s">
        <v>684</v>
      </c>
      <c r="C815" s="12"/>
      <c r="D815" s="35">
        <f>SUM(D810:D814)</f>
        <v>14.47</v>
      </c>
      <c r="E815" s="459"/>
      <c r="F815" s="10"/>
      <c r="G815" s="22"/>
      <c r="H815" s="19"/>
      <c r="I815" s="19"/>
      <c r="J815" s="19"/>
      <c r="K815" s="23" t="s">
        <v>3</v>
      </c>
      <c r="L815" s="13">
        <f>SUM(L810:L814)</f>
        <v>71.726500000000001</v>
      </c>
    </row>
    <row r="816" spans="2:12" ht="14.4" x14ac:dyDescent="0.3">
      <c r="B816" s="24" t="s">
        <v>700</v>
      </c>
      <c r="C816" s="114"/>
      <c r="D816" s="115"/>
      <c r="E816" s="115"/>
      <c r="F816" s="115"/>
      <c r="G816" s="114"/>
      <c r="H816" s="116"/>
      <c r="I816" s="117"/>
      <c r="J816" s="116"/>
      <c r="K816" s="116"/>
      <c r="L816" s="118"/>
    </row>
    <row r="817" spans="2:12" ht="14.4" x14ac:dyDescent="0.25">
      <c r="B817" s="217" t="s">
        <v>489</v>
      </c>
      <c r="C817" s="398"/>
      <c r="D817" s="389">
        <v>2.2400000000000002</v>
      </c>
      <c r="E817" s="389"/>
      <c r="F817" s="389">
        <v>3.94</v>
      </c>
      <c r="G817" s="390">
        <v>1</v>
      </c>
      <c r="H817" s="389">
        <f t="shared" ref="H817:H827" si="87">D817*F817*G817-I817</f>
        <v>8.8256000000000014</v>
      </c>
      <c r="I817" s="481"/>
      <c r="J817" s="399"/>
      <c r="K817" s="399" t="s">
        <v>3</v>
      </c>
      <c r="L817" s="389">
        <f t="shared" ref="L817:L827" si="88">H817</f>
        <v>8.8256000000000014</v>
      </c>
    </row>
    <row r="818" spans="2:12" ht="14.4" x14ac:dyDescent="0.25">
      <c r="B818" s="217" t="s">
        <v>526</v>
      </c>
      <c r="C818" s="398"/>
      <c r="D818" s="389">
        <v>0.83</v>
      </c>
      <c r="E818" s="389"/>
      <c r="F818" s="389">
        <v>3.94</v>
      </c>
      <c r="G818" s="390">
        <v>1</v>
      </c>
      <c r="H818" s="389">
        <f t="shared" si="87"/>
        <v>3.2702</v>
      </c>
      <c r="I818" s="481"/>
      <c r="J818" s="399"/>
      <c r="K818" s="399" t="s">
        <v>3</v>
      </c>
      <c r="L818" s="389">
        <f t="shared" si="88"/>
        <v>3.2702</v>
      </c>
    </row>
    <row r="819" spans="2:12" ht="14.4" x14ac:dyDescent="0.25">
      <c r="B819" s="217" t="s">
        <v>529</v>
      </c>
      <c r="C819" s="398"/>
      <c r="D819" s="389">
        <v>0.91</v>
      </c>
      <c r="E819" s="389"/>
      <c r="F819" s="389">
        <v>3.94</v>
      </c>
      <c r="G819" s="390">
        <v>2</v>
      </c>
      <c r="H819" s="389">
        <f t="shared" si="87"/>
        <v>7.1707999999999998</v>
      </c>
      <c r="I819" s="481"/>
      <c r="J819" s="399"/>
      <c r="K819" s="399" t="s">
        <v>3</v>
      </c>
      <c r="L819" s="389">
        <f t="shared" si="88"/>
        <v>7.1707999999999998</v>
      </c>
    </row>
    <row r="820" spans="2:12" ht="14.4" x14ac:dyDescent="0.25">
      <c r="B820" s="217" t="s">
        <v>631</v>
      </c>
      <c r="C820" s="398"/>
      <c r="D820" s="389">
        <v>2.5299999999999998</v>
      </c>
      <c r="E820" s="389"/>
      <c r="F820" s="389">
        <v>3.94</v>
      </c>
      <c r="G820" s="390">
        <v>1</v>
      </c>
      <c r="H820" s="389">
        <f t="shared" si="87"/>
        <v>9.9681999999999995</v>
      </c>
      <c r="I820" s="481"/>
      <c r="J820" s="399"/>
      <c r="K820" s="399" t="s">
        <v>3</v>
      </c>
      <c r="L820" s="389">
        <f t="shared" si="88"/>
        <v>9.9681999999999995</v>
      </c>
    </row>
    <row r="821" spans="2:12" ht="14.4" x14ac:dyDescent="0.25">
      <c r="B821" s="217" t="s">
        <v>630</v>
      </c>
      <c r="C821" s="398"/>
      <c r="D821" s="389">
        <v>2.95</v>
      </c>
      <c r="E821" s="389"/>
      <c r="F821" s="389">
        <v>3.94</v>
      </c>
      <c r="G821" s="390">
        <v>1</v>
      </c>
      <c r="H821" s="389">
        <f t="shared" si="87"/>
        <v>11.623000000000001</v>
      </c>
      <c r="I821" s="481"/>
      <c r="J821" s="399"/>
      <c r="K821" s="399" t="s">
        <v>3</v>
      </c>
      <c r="L821" s="389">
        <f t="shared" si="88"/>
        <v>11.623000000000001</v>
      </c>
    </row>
    <row r="822" spans="2:12" ht="14.4" x14ac:dyDescent="0.25">
      <c r="B822" s="217" t="s">
        <v>632</v>
      </c>
      <c r="C822" s="398"/>
      <c r="D822" s="389">
        <v>1.89</v>
      </c>
      <c r="E822" s="389"/>
      <c r="F822" s="389">
        <v>3.94</v>
      </c>
      <c r="G822" s="390">
        <v>1</v>
      </c>
      <c r="H822" s="389">
        <f t="shared" si="87"/>
        <v>7.4465999999999992</v>
      </c>
      <c r="I822" s="481"/>
      <c r="J822" s="399"/>
      <c r="K822" s="399" t="s">
        <v>3</v>
      </c>
      <c r="L822" s="389">
        <f t="shared" si="88"/>
        <v>7.4465999999999992</v>
      </c>
    </row>
    <row r="823" spans="2:12" ht="14.4" x14ac:dyDescent="0.25">
      <c r="B823" s="217" t="s">
        <v>633</v>
      </c>
      <c r="C823" s="223"/>
      <c r="D823" s="614">
        <v>8.1300000000000008</v>
      </c>
      <c r="E823" s="389"/>
      <c r="F823" s="389">
        <v>3.94</v>
      </c>
      <c r="G823" s="390">
        <v>1</v>
      </c>
      <c r="H823" s="389">
        <f t="shared" si="87"/>
        <v>32.032200000000003</v>
      </c>
      <c r="I823" s="481"/>
      <c r="J823" s="399"/>
      <c r="K823" s="399" t="s">
        <v>3</v>
      </c>
      <c r="L823" s="389">
        <f t="shared" si="88"/>
        <v>32.032200000000003</v>
      </c>
    </row>
    <row r="824" spans="2:12" ht="14.4" x14ac:dyDescent="0.25">
      <c r="B824" s="217" t="s">
        <v>638</v>
      </c>
      <c r="C824" s="398"/>
      <c r="D824" s="389">
        <v>5.3</v>
      </c>
      <c r="E824" s="389"/>
      <c r="F824" s="389">
        <v>3.94</v>
      </c>
      <c r="G824" s="390">
        <v>1</v>
      </c>
      <c r="H824" s="389">
        <f t="shared" si="87"/>
        <v>20.881999999999998</v>
      </c>
      <c r="I824" s="481"/>
      <c r="J824" s="399"/>
      <c r="K824" s="399" t="s">
        <v>3</v>
      </c>
      <c r="L824" s="389">
        <f t="shared" si="88"/>
        <v>20.881999999999998</v>
      </c>
    </row>
    <row r="825" spans="2:12" ht="14.4" x14ac:dyDescent="0.25">
      <c r="B825" s="217" t="s">
        <v>639</v>
      </c>
      <c r="C825" s="398"/>
      <c r="D825" s="389">
        <v>2.74</v>
      </c>
      <c r="E825" s="389"/>
      <c r="F825" s="389">
        <v>3.94</v>
      </c>
      <c r="G825" s="390">
        <v>1</v>
      </c>
      <c r="H825" s="389">
        <f t="shared" si="87"/>
        <v>10.7956</v>
      </c>
      <c r="I825" s="481"/>
      <c r="J825" s="399"/>
      <c r="K825" s="399" t="s">
        <v>3</v>
      </c>
      <c r="L825" s="389">
        <f t="shared" si="88"/>
        <v>10.7956</v>
      </c>
    </row>
    <row r="826" spans="2:12" ht="14.4" x14ac:dyDescent="0.25">
      <c r="B826" s="217" t="s">
        <v>741</v>
      </c>
      <c r="C826" s="398"/>
      <c r="D826" s="389">
        <v>4.21</v>
      </c>
      <c r="E826" s="389"/>
      <c r="F826" s="389">
        <v>3.4</v>
      </c>
      <c r="G826" s="390">
        <v>1</v>
      </c>
      <c r="H826" s="389">
        <f t="shared" si="87"/>
        <v>14.314</v>
      </c>
      <c r="I826" s="481"/>
      <c r="J826" s="399"/>
      <c r="K826" s="399" t="s">
        <v>3</v>
      </c>
      <c r="L826" s="389">
        <f t="shared" si="88"/>
        <v>14.314</v>
      </c>
    </row>
    <row r="827" spans="2:12" ht="14.4" x14ac:dyDescent="0.25">
      <c r="B827" s="217" t="s">
        <v>743</v>
      </c>
      <c r="C827" s="398"/>
      <c r="D827" s="389">
        <v>1.96</v>
      </c>
      <c r="E827" s="389"/>
      <c r="F827" s="389">
        <v>3.94</v>
      </c>
      <c r="G827" s="390">
        <v>1</v>
      </c>
      <c r="H827" s="389">
        <f t="shared" si="87"/>
        <v>7.7223999999999995</v>
      </c>
      <c r="I827" s="481"/>
      <c r="J827" s="399"/>
      <c r="K827" s="399" t="s">
        <v>3</v>
      </c>
      <c r="L827" s="389">
        <f t="shared" si="88"/>
        <v>7.7223999999999995</v>
      </c>
    </row>
    <row r="828" spans="2:12" ht="14.4" x14ac:dyDescent="0.25">
      <c r="B828" s="21" t="s">
        <v>564</v>
      </c>
      <c r="C828" s="12"/>
      <c r="D828" s="35">
        <f>SUM(D817:D827)</f>
        <v>33.690000000000005</v>
      </c>
      <c r="E828" s="459"/>
      <c r="F828" s="10"/>
      <c r="G828" s="22"/>
      <c r="H828" s="19"/>
      <c r="I828" s="19"/>
      <c r="J828" s="19"/>
      <c r="K828" s="23" t="s">
        <v>3</v>
      </c>
      <c r="L828" s="13">
        <f>SUM(L817:L827)</f>
        <v>134.0506</v>
      </c>
    </row>
    <row r="829" spans="2:12" ht="15.6" x14ac:dyDescent="0.25">
      <c r="B829" s="545" t="s">
        <v>645</v>
      </c>
      <c r="C829" s="546"/>
      <c r="D829" s="547"/>
      <c r="E829" s="547"/>
      <c r="F829" s="547"/>
      <c r="G829" s="546"/>
      <c r="H829" s="548"/>
      <c r="I829" s="549"/>
      <c r="J829" s="548"/>
      <c r="K829" s="548"/>
      <c r="L829" s="550"/>
    </row>
    <row r="830" spans="2:12" ht="15.6" x14ac:dyDescent="0.25">
      <c r="B830" s="59" t="s">
        <v>62</v>
      </c>
      <c r="C830" s="119"/>
      <c r="D830" s="120"/>
      <c r="E830" s="119"/>
      <c r="F830" s="121"/>
      <c r="G830" s="122"/>
      <c r="H830" s="123"/>
      <c r="I830" s="123"/>
      <c r="J830" s="123"/>
      <c r="K830" s="124"/>
      <c r="L830" s="125"/>
    </row>
    <row r="831" spans="2:12" ht="14.4" x14ac:dyDescent="0.25">
      <c r="B831" s="822" t="s">
        <v>1</v>
      </c>
      <c r="C831" s="55" t="s">
        <v>0</v>
      </c>
      <c r="D831" s="52" t="s">
        <v>12</v>
      </c>
      <c r="E831" s="52" t="s">
        <v>4</v>
      </c>
      <c r="F831" s="52" t="s">
        <v>2</v>
      </c>
      <c r="G831" s="52" t="s">
        <v>6</v>
      </c>
      <c r="H831" s="148" t="s">
        <v>5</v>
      </c>
      <c r="I831" s="56" t="s">
        <v>13</v>
      </c>
      <c r="J831" s="148" t="s">
        <v>14</v>
      </c>
      <c r="K831" s="822" t="s">
        <v>7</v>
      </c>
      <c r="L831" s="824" t="s">
        <v>8</v>
      </c>
    </row>
    <row r="832" spans="2:12" ht="14.4" x14ac:dyDescent="0.3">
      <c r="B832" s="828"/>
      <c r="C832" s="47" t="s">
        <v>9</v>
      </c>
      <c r="D832" s="48" t="s">
        <v>10</v>
      </c>
      <c r="E832" s="48" t="s">
        <v>10</v>
      </c>
      <c r="F832" s="48" t="s">
        <v>10</v>
      </c>
      <c r="G832" s="47" t="s">
        <v>9</v>
      </c>
      <c r="H832" s="49" t="s">
        <v>11</v>
      </c>
      <c r="I832" s="511" t="s">
        <v>11</v>
      </c>
      <c r="J832" s="49" t="s">
        <v>15</v>
      </c>
      <c r="K832" s="828"/>
      <c r="L832" s="829"/>
    </row>
    <row r="833" spans="2:12" ht="14.4" x14ac:dyDescent="0.3">
      <c r="B833" s="20" t="s">
        <v>698</v>
      </c>
      <c r="C833" s="381"/>
      <c r="D833" s="382"/>
      <c r="E833" s="382"/>
      <c r="F833" s="382"/>
      <c r="G833" s="381"/>
      <c r="H833" s="383"/>
      <c r="I833" s="384"/>
      <c r="J833" s="383"/>
      <c r="K833" s="383"/>
      <c r="L833" s="7"/>
    </row>
    <row r="834" spans="2:12" ht="14.4" x14ac:dyDescent="0.25">
      <c r="B834" s="217" t="s">
        <v>483</v>
      </c>
      <c r="C834" s="398"/>
      <c r="D834" s="389">
        <v>2.6</v>
      </c>
      <c r="E834" s="389"/>
      <c r="F834" s="389">
        <v>3.36</v>
      </c>
      <c r="G834" s="390">
        <v>1</v>
      </c>
      <c r="H834" s="389">
        <f t="shared" ref="H834:H837" si="89">D834*F834*G834-I834</f>
        <v>8.7360000000000007</v>
      </c>
      <c r="I834" s="481"/>
      <c r="J834" s="399"/>
      <c r="K834" s="399" t="s">
        <v>3</v>
      </c>
      <c r="L834" s="389">
        <f t="shared" ref="L834:L837" si="90">H834</f>
        <v>8.7360000000000007</v>
      </c>
    </row>
    <row r="835" spans="2:12" ht="14.4" x14ac:dyDescent="0.25">
      <c r="B835" s="217" t="s">
        <v>484</v>
      </c>
      <c r="C835" s="398"/>
      <c r="D835" s="389">
        <v>0.24</v>
      </c>
      <c r="E835" s="389"/>
      <c r="F835" s="389">
        <v>3.36</v>
      </c>
      <c r="G835" s="390">
        <v>2</v>
      </c>
      <c r="H835" s="389">
        <f t="shared" si="89"/>
        <v>1.6127999999999998</v>
      </c>
      <c r="I835" s="481"/>
      <c r="J835" s="399"/>
      <c r="K835" s="399" t="s">
        <v>3</v>
      </c>
      <c r="L835" s="389">
        <f t="shared" si="90"/>
        <v>1.6127999999999998</v>
      </c>
    </row>
    <row r="836" spans="2:12" ht="14.4" x14ac:dyDescent="0.25">
      <c r="B836" s="217" t="s">
        <v>487</v>
      </c>
      <c r="C836" s="398"/>
      <c r="D836" s="389">
        <v>7.6</v>
      </c>
      <c r="E836" s="389"/>
      <c r="F836" s="389">
        <v>3.36</v>
      </c>
      <c r="G836" s="390">
        <v>1</v>
      </c>
      <c r="H836" s="389">
        <f t="shared" si="89"/>
        <v>25.535999999999998</v>
      </c>
      <c r="I836" s="481"/>
      <c r="J836" s="399"/>
      <c r="K836" s="399" t="s">
        <v>3</v>
      </c>
      <c r="L836" s="389">
        <f t="shared" si="90"/>
        <v>25.535999999999998</v>
      </c>
    </row>
    <row r="837" spans="2:12" ht="14.4" x14ac:dyDescent="0.25">
      <c r="B837" s="217" t="s">
        <v>488</v>
      </c>
      <c r="C837" s="398"/>
      <c r="D837" s="389">
        <v>0.45</v>
      </c>
      <c r="E837" s="389"/>
      <c r="F837" s="389">
        <v>3.36</v>
      </c>
      <c r="G837" s="390">
        <v>2</v>
      </c>
      <c r="H837" s="389">
        <f t="shared" si="89"/>
        <v>3.024</v>
      </c>
      <c r="I837" s="481"/>
      <c r="J837" s="399"/>
      <c r="K837" s="399" t="s">
        <v>3</v>
      </c>
      <c r="L837" s="389">
        <f t="shared" si="90"/>
        <v>3.024</v>
      </c>
    </row>
    <row r="838" spans="2:12" ht="14.4" x14ac:dyDescent="0.25">
      <c r="B838" s="21" t="s">
        <v>563</v>
      </c>
      <c r="C838" s="12"/>
      <c r="D838" s="35">
        <f>SUM(D834:D837)</f>
        <v>10.889999999999999</v>
      </c>
      <c r="E838" s="459"/>
      <c r="F838" s="10"/>
      <c r="G838" s="22"/>
      <c r="H838" s="19"/>
      <c r="I838" s="19"/>
      <c r="J838" s="19"/>
      <c r="K838" s="23" t="s">
        <v>3</v>
      </c>
      <c r="L838" s="13">
        <f>SUM(L834:L837)</f>
        <v>38.908799999999999</v>
      </c>
    </row>
    <row r="839" spans="2:12" ht="14.4" x14ac:dyDescent="0.3">
      <c r="B839" s="20" t="s">
        <v>702</v>
      </c>
      <c r="C839" s="381"/>
      <c r="D839" s="382"/>
      <c r="E839" s="382"/>
      <c r="F839" s="382"/>
      <c r="G839" s="381"/>
      <c r="H839" s="383"/>
      <c r="I839" s="384"/>
      <c r="J839" s="383"/>
      <c r="K839" s="383"/>
      <c r="L839" s="7"/>
    </row>
    <row r="840" spans="2:12" ht="14.4" x14ac:dyDescent="0.25">
      <c r="B840" s="217" t="s">
        <v>478</v>
      </c>
      <c r="C840" s="398"/>
      <c r="D840" s="389">
        <v>1.04</v>
      </c>
      <c r="E840" s="389"/>
      <c r="F840" s="389">
        <v>3.4</v>
      </c>
      <c r="G840" s="390">
        <v>2</v>
      </c>
      <c r="H840" s="389">
        <f t="shared" ref="H840:H842" si="91">D840*F840*G840-I840</f>
        <v>7.0720000000000001</v>
      </c>
      <c r="I840" s="481"/>
      <c r="J840" s="399"/>
      <c r="K840" s="399" t="s">
        <v>3</v>
      </c>
      <c r="L840" s="389">
        <f t="shared" ref="L840:L842" si="92">H840</f>
        <v>7.0720000000000001</v>
      </c>
    </row>
    <row r="841" spans="2:12" ht="14.4" x14ac:dyDescent="0.25">
      <c r="B841" s="217" t="s">
        <v>479</v>
      </c>
      <c r="C841" s="398"/>
      <c r="D841" s="389">
        <v>2.78</v>
      </c>
      <c r="E841" s="389"/>
      <c r="F841" s="389">
        <v>3.4</v>
      </c>
      <c r="G841" s="390">
        <v>2</v>
      </c>
      <c r="H841" s="389">
        <f t="shared" si="91"/>
        <v>18.904</v>
      </c>
      <c r="I841" s="481"/>
      <c r="J841" s="399"/>
      <c r="K841" s="399" t="s">
        <v>3</v>
      </c>
      <c r="L841" s="389">
        <f t="shared" si="92"/>
        <v>18.904</v>
      </c>
    </row>
    <row r="842" spans="2:12" ht="14.4" x14ac:dyDescent="0.25">
      <c r="B842" s="217" t="s">
        <v>481</v>
      </c>
      <c r="C842" s="398"/>
      <c r="D842" s="389">
        <v>2.77</v>
      </c>
      <c r="E842" s="389"/>
      <c r="F842" s="389">
        <v>3.45</v>
      </c>
      <c r="G842" s="390">
        <v>1</v>
      </c>
      <c r="H842" s="389">
        <f t="shared" si="91"/>
        <v>9.5564999999999998</v>
      </c>
      <c r="I842" s="481"/>
      <c r="J842" s="399"/>
      <c r="K842" s="399" t="s">
        <v>3</v>
      </c>
      <c r="L842" s="389">
        <f t="shared" si="92"/>
        <v>9.5564999999999998</v>
      </c>
    </row>
    <row r="843" spans="2:12" ht="14.4" x14ac:dyDescent="0.25">
      <c r="B843" s="21" t="s">
        <v>684</v>
      </c>
      <c r="C843" s="12"/>
      <c r="D843" s="35">
        <f>SUM(D840:D842)</f>
        <v>6.59</v>
      </c>
      <c r="E843" s="459"/>
      <c r="F843" s="10"/>
      <c r="G843" s="22"/>
      <c r="H843" s="19"/>
      <c r="I843" s="19"/>
      <c r="J843" s="19"/>
      <c r="K843" s="23" t="s">
        <v>3</v>
      </c>
      <c r="L843" s="13">
        <f>SUM(L840:L842)</f>
        <v>35.532499999999999</v>
      </c>
    </row>
    <row r="844" spans="2:12" ht="14.4" x14ac:dyDescent="0.3">
      <c r="B844" s="24" t="s">
        <v>687</v>
      </c>
      <c r="C844" s="114"/>
      <c r="D844" s="115"/>
      <c r="E844" s="115"/>
      <c r="F844" s="115"/>
      <c r="G844" s="114"/>
      <c r="H844" s="116"/>
      <c r="I844" s="117"/>
      <c r="J844" s="116"/>
      <c r="K844" s="116"/>
      <c r="L844" s="118"/>
    </row>
    <row r="845" spans="2:12" ht="14.4" x14ac:dyDescent="0.25">
      <c r="B845" s="217" t="s">
        <v>53</v>
      </c>
      <c r="C845" s="398"/>
      <c r="D845" s="483">
        <v>39.58</v>
      </c>
      <c r="E845" s="389"/>
      <c r="F845" s="389">
        <v>3.36</v>
      </c>
      <c r="G845" s="390">
        <v>1</v>
      </c>
      <c r="H845" s="389">
        <f t="shared" ref="H845:H852" si="93">D845*F845*G845-I845</f>
        <v>132.9888</v>
      </c>
      <c r="I845" s="481"/>
      <c r="J845" s="399"/>
      <c r="K845" s="399" t="s">
        <v>3</v>
      </c>
      <c r="L845" s="483">
        <f t="shared" ref="L845:L852" si="94">H845</f>
        <v>132.9888</v>
      </c>
    </row>
    <row r="846" spans="2:12" ht="14.4" x14ac:dyDescent="0.25">
      <c r="B846" s="217" t="s">
        <v>475</v>
      </c>
      <c r="C846" s="398"/>
      <c r="D846" s="483">
        <v>21.05</v>
      </c>
      <c r="E846" s="389"/>
      <c r="F846" s="389">
        <v>3.36</v>
      </c>
      <c r="G846" s="390">
        <v>1</v>
      </c>
      <c r="H846" s="389">
        <f t="shared" si="93"/>
        <v>70.727999999999994</v>
      </c>
      <c r="I846" s="481"/>
      <c r="J846" s="399"/>
      <c r="K846" s="399" t="s">
        <v>3</v>
      </c>
      <c r="L846" s="483">
        <f t="shared" si="94"/>
        <v>70.727999999999994</v>
      </c>
    </row>
    <row r="847" spans="2:12" ht="14.4" x14ac:dyDescent="0.25">
      <c r="B847" s="217" t="s">
        <v>476</v>
      </c>
      <c r="C847" s="398"/>
      <c r="D847" s="483">
        <v>43.6</v>
      </c>
      <c r="E847" s="389"/>
      <c r="F847" s="389">
        <v>3.36</v>
      </c>
      <c r="G847" s="390">
        <v>1</v>
      </c>
      <c r="H847" s="389">
        <f t="shared" si="93"/>
        <v>146.49600000000001</v>
      </c>
      <c r="I847" s="481"/>
      <c r="J847" s="399"/>
      <c r="K847" s="399" t="s">
        <v>3</v>
      </c>
      <c r="L847" s="483">
        <f t="shared" si="94"/>
        <v>146.49600000000001</v>
      </c>
    </row>
    <row r="848" spans="2:12" ht="14.4" x14ac:dyDescent="0.25">
      <c r="B848" s="217" t="s">
        <v>477</v>
      </c>
      <c r="C848" s="398"/>
      <c r="D848" s="483">
        <v>13.23</v>
      </c>
      <c r="E848" s="389"/>
      <c r="F848" s="389">
        <v>3.36</v>
      </c>
      <c r="G848" s="390">
        <v>1</v>
      </c>
      <c r="H848" s="389">
        <f t="shared" si="93"/>
        <v>44.452799999999996</v>
      </c>
      <c r="I848" s="481"/>
      <c r="J848" s="399"/>
      <c r="K848" s="399" t="s">
        <v>3</v>
      </c>
      <c r="L848" s="483">
        <f t="shared" si="94"/>
        <v>44.452799999999996</v>
      </c>
    </row>
    <row r="849" spans="2:12" ht="14.4" x14ac:dyDescent="0.25">
      <c r="B849" s="217" t="s">
        <v>480</v>
      </c>
      <c r="C849" s="398"/>
      <c r="D849" s="483">
        <v>2.74</v>
      </c>
      <c r="E849" s="389"/>
      <c r="F849" s="389">
        <v>3.4</v>
      </c>
      <c r="G849" s="390">
        <v>1</v>
      </c>
      <c r="H849" s="389">
        <f t="shared" si="93"/>
        <v>9.3160000000000007</v>
      </c>
      <c r="I849" s="481"/>
      <c r="J849" s="399"/>
      <c r="K849" s="399" t="s">
        <v>3</v>
      </c>
      <c r="L849" s="483">
        <f t="shared" si="94"/>
        <v>9.3160000000000007</v>
      </c>
    </row>
    <row r="850" spans="2:12" ht="14.4" x14ac:dyDescent="0.25">
      <c r="B850" s="217" t="s">
        <v>482</v>
      </c>
      <c r="C850" s="398"/>
      <c r="D850" s="483">
        <v>2.99</v>
      </c>
      <c r="E850" s="389"/>
      <c r="F850" s="389">
        <v>3.45</v>
      </c>
      <c r="G850" s="390">
        <v>1</v>
      </c>
      <c r="H850" s="389">
        <f t="shared" si="93"/>
        <v>10.315500000000002</v>
      </c>
      <c r="I850" s="481"/>
      <c r="J850" s="399"/>
      <c r="K850" s="399" t="s">
        <v>3</v>
      </c>
      <c r="L850" s="483">
        <f t="shared" si="94"/>
        <v>10.315500000000002</v>
      </c>
    </row>
    <row r="851" spans="2:12" ht="14.4" x14ac:dyDescent="0.25">
      <c r="B851" s="217" t="s">
        <v>485</v>
      </c>
      <c r="C851" s="398"/>
      <c r="D851" s="483">
        <v>2.1800000000000002</v>
      </c>
      <c r="E851" s="389"/>
      <c r="F851" s="389">
        <v>3.45</v>
      </c>
      <c r="G851" s="390">
        <v>1</v>
      </c>
      <c r="H851" s="389">
        <f t="shared" si="93"/>
        <v>7.5210000000000008</v>
      </c>
      <c r="I851" s="481"/>
      <c r="J851" s="399"/>
      <c r="K851" s="399" t="s">
        <v>3</v>
      </c>
      <c r="L851" s="483">
        <f t="shared" si="94"/>
        <v>7.5210000000000008</v>
      </c>
    </row>
    <row r="852" spans="2:12" ht="14.4" x14ac:dyDescent="0.25">
      <c r="B852" s="217" t="s">
        <v>486</v>
      </c>
      <c r="C852" s="398"/>
      <c r="D852" s="483">
        <v>4.68</v>
      </c>
      <c r="E852" s="389"/>
      <c r="F852" s="389">
        <v>3.36</v>
      </c>
      <c r="G852" s="390">
        <v>1</v>
      </c>
      <c r="H852" s="389">
        <f t="shared" si="93"/>
        <v>15.724799999999998</v>
      </c>
      <c r="I852" s="481"/>
      <c r="J852" s="399"/>
      <c r="K852" s="399" t="s">
        <v>3</v>
      </c>
      <c r="L852" s="483">
        <f t="shared" si="94"/>
        <v>15.724799999999998</v>
      </c>
    </row>
    <row r="853" spans="2:12" ht="14.4" x14ac:dyDescent="0.25">
      <c r="B853" s="21" t="s">
        <v>564</v>
      </c>
      <c r="C853" s="12"/>
      <c r="D853" s="35">
        <f>SUM(D845:D852)</f>
        <v>130.04999999999998</v>
      </c>
      <c r="E853" s="459"/>
      <c r="F853" s="10"/>
      <c r="G853" s="22"/>
      <c r="H853" s="19"/>
      <c r="I853" s="19"/>
      <c r="J853" s="19"/>
      <c r="K853" s="23" t="s">
        <v>3</v>
      </c>
      <c r="L853" s="13">
        <f>SUM(L845:L852)</f>
        <v>437.54290000000003</v>
      </c>
    </row>
    <row r="854" spans="2:12" ht="15.6" x14ac:dyDescent="0.25">
      <c r="B854" s="539" t="s">
        <v>644</v>
      </c>
      <c r="C854" s="540"/>
      <c r="D854" s="541"/>
      <c r="E854" s="541"/>
      <c r="F854" s="541"/>
      <c r="G854" s="540"/>
      <c r="H854" s="542"/>
      <c r="I854" s="543"/>
      <c r="J854" s="542"/>
      <c r="K854" s="542"/>
      <c r="L854" s="544"/>
    </row>
    <row r="855" spans="2:12" ht="15.6" x14ac:dyDescent="0.25">
      <c r="B855" s="59" t="s">
        <v>63</v>
      </c>
      <c r="C855" s="119"/>
      <c r="D855" s="120"/>
      <c r="E855" s="119"/>
      <c r="F855" s="121"/>
      <c r="G855" s="122"/>
      <c r="H855" s="123"/>
      <c r="I855" s="123"/>
      <c r="J855" s="123"/>
      <c r="K855" s="124"/>
      <c r="L855" s="125"/>
    </row>
    <row r="856" spans="2:12" ht="14.4" x14ac:dyDescent="0.25">
      <c r="B856" s="822" t="s">
        <v>1</v>
      </c>
      <c r="C856" s="55" t="s">
        <v>0</v>
      </c>
      <c r="D856" s="52" t="s">
        <v>12</v>
      </c>
      <c r="E856" s="52" t="s">
        <v>4</v>
      </c>
      <c r="F856" s="52" t="s">
        <v>2</v>
      </c>
      <c r="G856" s="52" t="s">
        <v>6</v>
      </c>
      <c r="H856" s="148" t="s">
        <v>5</v>
      </c>
      <c r="I856" s="56" t="s">
        <v>13</v>
      </c>
      <c r="J856" s="148" t="s">
        <v>14</v>
      </c>
      <c r="K856" s="822" t="s">
        <v>7</v>
      </c>
      <c r="L856" s="824" t="s">
        <v>8</v>
      </c>
    </row>
    <row r="857" spans="2:12" ht="14.4" x14ac:dyDescent="0.3">
      <c r="B857" s="823"/>
      <c r="C857" s="80" t="s">
        <v>9</v>
      </c>
      <c r="D857" s="81" t="s">
        <v>10</v>
      </c>
      <c r="E857" s="81" t="s">
        <v>10</v>
      </c>
      <c r="F857" s="81" t="s">
        <v>10</v>
      </c>
      <c r="G857" s="80" t="s">
        <v>9</v>
      </c>
      <c r="H857" s="82" t="s">
        <v>11</v>
      </c>
      <c r="I857" s="113" t="s">
        <v>11</v>
      </c>
      <c r="J857" s="82" t="s">
        <v>15</v>
      </c>
      <c r="K857" s="823"/>
      <c r="L857" s="825"/>
    </row>
    <row r="858" spans="2:12" ht="14.4" x14ac:dyDescent="0.3">
      <c r="B858" s="20" t="s">
        <v>699</v>
      </c>
      <c r="C858" s="381"/>
      <c r="D858" s="382"/>
      <c r="E858" s="382"/>
      <c r="F858" s="382"/>
      <c r="G858" s="381"/>
      <c r="H858" s="383"/>
      <c r="I858" s="384"/>
      <c r="J858" s="383"/>
      <c r="K858" s="383"/>
      <c r="L858" s="7"/>
    </row>
    <row r="859" spans="2:12" ht="14.4" x14ac:dyDescent="0.25">
      <c r="B859" s="217" t="s">
        <v>53</v>
      </c>
      <c r="C859" s="398"/>
      <c r="D859" s="389">
        <v>0.42</v>
      </c>
      <c r="E859" s="389"/>
      <c r="F859" s="389">
        <v>3.94</v>
      </c>
      <c r="G859" s="390">
        <v>1</v>
      </c>
      <c r="H859" s="389">
        <f t="shared" ref="H859:H898" si="95">D859*F859*G859-I859</f>
        <v>1.6547999999999998</v>
      </c>
      <c r="I859" s="483"/>
      <c r="J859" s="399"/>
      <c r="K859" s="399" t="s">
        <v>3</v>
      </c>
      <c r="L859" s="389">
        <f>H859</f>
        <v>1.6547999999999998</v>
      </c>
    </row>
    <row r="860" spans="2:12" ht="14.4" x14ac:dyDescent="0.25">
      <c r="B860" s="217" t="s">
        <v>475</v>
      </c>
      <c r="C860" s="398"/>
      <c r="D860" s="389">
        <v>1.48</v>
      </c>
      <c r="E860" s="389"/>
      <c r="F860" s="389">
        <v>3.94</v>
      </c>
      <c r="G860" s="390">
        <v>1</v>
      </c>
      <c r="H860" s="389">
        <f t="shared" si="95"/>
        <v>1.9811999999999999</v>
      </c>
      <c r="I860" s="483">
        <v>3.85</v>
      </c>
      <c r="J860" s="399"/>
      <c r="K860" s="399" t="s">
        <v>3</v>
      </c>
      <c r="L860" s="389">
        <f t="shared" ref="L860:L898" si="96">H860</f>
        <v>1.9811999999999999</v>
      </c>
    </row>
    <row r="861" spans="2:12" ht="14.4" x14ac:dyDescent="0.25">
      <c r="B861" s="217" t="s">
        <v>476</v>
      </c>
      <c r="C861" s="398"/>
      <c r="D861" s="389">
        <v>1.1499999999999999</v>
      </c>
      <c r="E861" s="389"/>
      <c r="F861" s="389">
        <v>3.94</v>
      </c>
      <c r="G861" s="390">
        <v>1</v>
      </c>
      <c r="H861" s="389">
        <f t="shared" si="95"/>
        <v>4.5309999999999997</v>
      </c>
      <c r="I861" s="483"/>
      <c r="J861" s="399"/>
      <c r="K861" s="399" t="s">
        <v>3</v>
      </c>
      <c r="L861" s="389">
        <f t="shared" si="96"/>
        <v>4.5309999999999997</v>
      </c>
    </row>
    <row r="862" spans="2:12" ht="14.4" x14ac:dyDescent="0.25">
      <c r="B862" s="217" t="s">
        <v>477</v>
      </c>
      <c r="C862" s="398"/>
      <c r="D862" s="389">
        <v>2.4</v>
      </c>
      <c r="E862" s="389"/>
      <c r="F862" s="389">
        <v>3.94</v>
      </c>
      <c r="G862" s="390">
        <v>1</v>
      </c>
      <c r="H862" s="389">
        <f t="shared" si="95"/>
        <v>6.3460000000000001</v>
      </c>
      <c r="I862" s="483">
        <v>3.11</v>
      </c>
      <c r="J862" s="399"/>
      <c r="K862" s="399" t="s">
        <v>3</v>
      </c>
      <c r="L862" s="389">
        <f t="shared" si="96"/>
        <v>6.3460000000000001</v>
      </c>
    </row>
    <row r="863" spans="2:12" ht="14.4" x14ac:dyDescent="0.25">
      <c r="B863" s="217" t="s">
        <v>478</v>
      </c>
      <c r="C863" s="398"/>
      <c r="D863" s="389">
        <v>2.85</v>
      </c>
      <c r="E863" s="389"/>
      <c r="F863" s="389">
        <v>3.94</v>
      </c>
      <c r="G863" s="390">
        <v>1</v>
      </c>
      <c r="H863" s="389">
        <f t="shared" si="95"/>
        <v>5.1190000000000007</v>
      </c>
      <c r="I863" s="483">
        <v>6.11</v>
      </c>
      <c r="J863" s="399"/>
      <c r="K863" s="399" t="s">
        <v>3</v>
      </c>
      <c r="L863" s="389">
        <f t="shared" si="96"/>
        <v>5.1190000000000007</v>
      </c>
    </row>
    <row r="864" spans="2:12" ht="14.4" x14ac:dyDescent="0.25">
      <c r="B864" s="217" t="s">
        <v>479</v>
      </c>
      <c r="C864" s="398"/>
      <c r="D864" s="389">
        <v>0.32</v>
      </c>
      <c r="E864" s="389"/>
      <c r="F864" s="389">
        <v>3.94</v>
      </c>
      <c r="G864" s="390">
        <v>2</v>
      </c>
      <c r="H864" s="389">
        <f t="shared" si="95"/>
        <v>2.5215999999999998</v>
      </c>
      <c r="I864" s="483"/>
      <c r="J864" s="399"/>
      <c r="K864" s="399" t="s">
        <v>3</v>
      </c>
      <c r="L864" s="389">
        <f t="shared" si="96"/>
        <v>2.5215999999999998</v>
      </c>
    </row>
    <row r="865" spans="2:12" ht="14.4" x14ac:dyDescent="0.25">
      <c r="B865" s="217" t="s">
        <v>480</v>
      </c>
      <c r="C865" s="398"/>
      <c r="D865" s="389">
        <v>4.75</v>
      </c>
      <c r="E865" s="389"/>
      <c r="F865" s="389">
        <v>3.94</v>
      </c>
      <c r="G865" s="390">
        <v>1</v>
      </c>
      <c r="H865" s="389">
        <f t="shared" si="95"/>
        <v>10.035</v>
      </c>
      <c r="I865" s="483">
        <v>8.68</v>
      </c>
      <c r="J865" s="399"/>
      <c r="K865" s="399" t="s">
        <v>3</v>
      </c>
      <c r="L865" s="389">
        <f t="shared" si="96"/>
        <v>10.035</v>
      </c>
    </row>
    <row r="866" spans="2:12" ht="14.4" x14ac:dyDescent="0.25">
      <c r="B866" s="217" t="s">
        <v>482</v>
      </c>
      <c r="C866" s="398"/>
      <c r="D866" s="389">
        <v>2.0099999999999998</v>
      </c>
      <c r="E866" s="389"/>
      <c r="F866" s="389">
        <v>3.94</v>
      </c>
      <c r="G866" s="390">
        <v>1</v>
      </c>
      <c r="H866" s="389">
        <f t="shared" si="95"/>
        <v>7.9193999999999987</v>
      </c>
      <c r="I866" s="483"/>
      <c r="J866" s="399"/>
      <c r="K866" s="399" t="s">
        <v>3</v>
      </c>
      <c r="L866" s="389">
        <f t="shared" si="96"/>
        <v>7.9193999999999987</v>
      </c>
    </row>
    <row r="867" spans="2:12" ht="14.4" x14ac:dyDescent="0.25">
      <c r="B867" s="217" t="s">
        <v>483</v>
      </c>
      <c r="C867" s="398"/>
      <c r="D867" s="389">
        <v>0.5</v>
      </c>
      <c r="E867" s="389"/>
      <c r="F867" s="389">
        <v>3.94</v>
      </c>
      <c r="G867" s="390">
        <v>1</v>
      </c>
      <c r="H867" s="389">
        <f t="shared" si="95"/>
        <v>1.97</v>
      </c>
      <c r="I867" s="483"/>
      <c r="J867" s="399"/>
      <c r="K867" s="399" t="s">
        <v>3</v>
      </c>
      <c r="L867" s="389">
        <f t="shared" si="96"/>
        <v>1.97</v>
      </c>
    </row>
    <row r="868" spans="2:12" ht="14.4" x14ac:dyDescent="0.25">
      <c r="B868" s="217" t="s">
        <v>484</v>
      </c>
      <c r="C868" s="398"/>
      <c r="D868" s="389">
        <v>0.74</v>
      </c>
      <c r="E868" s="389"/>
      <c r="F868" s="389">
        <v>3.94</v>
      </c>
      <c r="G868" s="390">
        <v>1</v>
      </c>
      <c r="H868" s="389">
        <f t="shared" si="95"/>
        <v>2.9156</v>
      </c>
      <c r="I868" s="483"/>
      <c r="J868" s="399"/>
      <c r="K868" s="399" t="s">
        <v>3</v>
      </c>
      <c r="L868" s="389">
        <f t="shared" si="96"/>
        <v>2.9156</v>
      </c>
    </row>
    <row r="869" spans="2:12" ht="14.4" x14ac:dyDescent="0.25">
      <c r="B869" s="217" t="s">
        <v>485</v>
      </c>
      <c r="C869" s="398"/>
      <c r="D869" s="389">
        <v>4.17</v>
      </c>
      <c r="E869" s="389"/>
      <c r="F869" s="389">
        <v>3.94</v>
      </c>
      <c r="G869" s="390">
        <v>1</v>
      </c>
      <c r="H869" s="389">
        <f t="shared" si="95"/>
        <v>16.4298</v>
      </c>
      <c r="I869" s="483"/>
      <c r="J869" s="399"/>
      <c r="K869" s="399" t="s">
        <v>3</v>
      </c>
      <c r="L869" s="389">
        <f t="shared" si="96"/>
        <v>16.4298</v>
      </c>
    </row>
    <row r="870" spans="2:12" ht="14.4" x14ac:dyDescent="0.25">
      <c r="B870" s="217" t="s">
        <v>486</v>
      </c>
      <c r="C870" s="398"/>
      <c r="D870" s="389">
        <v>2.1</v>
      </c>
      <c r="E870" s="389"/>
      <c r="F870" s="389">
        <v>3.94</v>
      </c>
      <c r="G870" s="390">
        <v>1</v>
      </c>
      <c r="H870" s="389">
        <f t="shared" si="95"/>
        <v>8.2740000000000009</v>
      </c>
      <c r="I870" s="483"/>
      <c r="J870" s="399"/>
      <c r="K870" s="399" t="s">
        <v>3</v>
      </c>
      <c r="L870" s="389">
        <f t="shared" si="96"/>
        <v>8.2740000000000009</v>
      </c>
    </row>
    <row r="871" spans="2:12" ht="14.4" x14ac:dyDescent="0.25">
      <c r="B871" s="217" t="s">
        <v>487</v>
      </c>
      <c r="C871" s="398"/>
      <c r="D871" s="389">
        <v>2.83</v>
      </c>
      <c r="E871" s="389"/>
      <c r="F871" s="389">
        <v>3.94</v>
      </c>
      <c r="G871" s="390">
        <v>2</v>
      </c>
      <c r="H871" s="389">
        <f t="shared" si="95"/>
        <v>22.3004</v>
      </c>
      <c r="I871" s="483"/>
      <c r="J871" s="399"/>
      <c r="K871" s="399" t="s">
        <v>3</v>
      </c>
      <c r="L871" s="389">
        <f t="shared" si="96"/>
        <v>22.3004</v>
      </c>
    </row>
    <row r="872" spans="2:12" ht="14.4" x14ac:dyDescent="0.25">
      <c r="B872" s="217" t="s">
        <v>488</v>
      </c>
      <c r="C872" s="398"/>
      <c r="D872" s="389">
        <v>7.49</v>
      </c>
      <c r="E872" s="389"/>
      <c r="F872" s="389">
        <v>3.94</v>
      </c>
      <c r="G872" s="390">
        <v>1</v>
      </c>
      <c r="H872" s="389">
        <f t="shared" si="95"/>
        <v>29.5106</v>
      </c>
      <c r="I872" s="483"/>
      <c r="J872" s="399"/>
      <c r="K872" s="399" t="s">
        <v>3</v>
      </c>
      <c r="L872" s="389">
        <f t="shared" si="96"/>
        <v>29.5106</v>
      </c>
    </row>
    <row r="873" spans="2:12" ht="14.4" x14ac:dyDescent="0.25">
      <c r="B873" s="217" t="s">
        <v>489</v>
      </c>
      <c r="C873" s="398"/>
      <c r="D873" s="389">
        <v>3.86</v>
      </c>
      <c r="E873" s="389"/>
      <c r="F873" s="389">
        <v>3.94</v>
      </c>
      <c r="G873" s="390">
        <v>1</v>
      </c>
      <c r="H873" s="389">
        <f t="shared" si="95"/>
        <v>15.208399999999999</v>
      </c>
      <c r="I873" s="483"/>
      <c r="J873" s="399"/>
      <c r="K873" s="399" t="s">
        <v>3</v>
      </c>
      <c r="L873" s="389">
        <f t="shared" si="96"/>
        <v>15.208399999999999</v>
      </c>
    </row>
    <row r="874" spans="2:12" ht="14.4" x14ac:dyDescent="0.25">
      <c r="B874" s="217" t="s">
        <v>490</v>
      </c>
      <c r="C874" s="398"/>
      <c r="D874" s="389">
        <v>1.84</v>
      </c>
      <c r="E874" s="389"/>
      <c r="F874" s="389">
        <v>3.94</v>
      </c>
      <c r="G874" s="390">
        <v>1</v>
      </c>
      <c r="H874" s="389">
        <f t="shared" si="95"/>
        <v>7.2496</v>
      </c>
      <c r="I874" s="483"/>
      <c r="J874" s="399"/>
      <c r="K874" s="399" t="s">
        <v>3</v>
      </c>
      <c r="L874" s="389">
        <f t="shared" si="96"/>
        <v>7.2496</v>
      </c>
    </row>
    <row r="875" spans="2:12" ht="14.4" x14ac:dyDescent="0.25">
      <c r="B875" s="217" t="s">
        <v>491</v>
      </c>
      <c r="C875" s="398"/>
      <c r="D875" s="389">
        <v>1.65</v>
      </c>
      <c r="E875" s="389"/>
      <c r="F875" s="389">
        <v>3.94</v>
      </c>
      <c r="G875" s="390">
        <v>1</v>
      </c>
      <c r="H875" s="389">
        <f t="shared" si="95"/>
        <v>6.5009999999999994</v>
      </c>
      <c r="I875" s="483"/>
      <c r="J875" s="399"/>
      <c r="K875" s="399" t="s">
        <v>3</v>
      </c>
      <c r="L875" s="389">
        <f t="shared" si="96"/>
        <v>6.5009999999999994</v>
      </c>
    </row>
    <row r="876" spans="2:12" ht="14.4" x14ac:dyDescent="0.25">
      <c r="B876" s="217" t="s">
        <v>493</v>
      </c>
      <c r="C876" s="398"/>
      <c r="D876" s="389">
        <v>2.7</v>
      </c>
      <c r="E876" s="389"/>
      <c r="F876" s="389">
        <v>3.94</v>
      </c>
      <c r="G876" s="390">
        <v>1</v>
      </c>
      <c r="H876" s="389">
        <f t="shared" si="95"/>
        <v>10.638</v>
      </c>
      <c r="I876" s="483"/>
      <c r="J876" s="399"/>
      <c r="K876" s="399" t="s">
        <v>3</v>
      </c>
      <c r="L876" s="389">
        <f t="shared" si="96"/>
        <v>10.638</v>
      </c>
    </row>
    <row r="877" spans="2:12" ht="14.4" x14ac:dyDescent="0.25">
      <c r="B877" s="217" t="s">
        <v>496</v>
      </c>
      <c r="C877" s="398"/>
      <c r="D877" s="389">
        <v>4.63</v>
      </c>
      <c r="E877" s="389"/>
      <c r="F877" s="389">
        <v>3.94</v>
      </c>
      <c r="G877" s="390">
        <v>1</v>
      </c>
      <c r="H877" s="389">
        <f t="shared" si="95"/>
        <v>18.2422</v>
      </c>
      <c r="I877" s="483"/>
      <c r="J877" s="399"/>
      <c r="K877" s="399" t="s">
        <v>3</v>
      </c>
      <c r="L877" s="389">
        <f t="shared" si="96"/>
        <v>18.2422</v>
      </c>
    </row>
    <row r="878" spans="2:12" ht="14.4" x14ac:dyDescent="0.25">
      <c r="B878" s="217" t="s">
        <v>500</v>
      </c>
      <c r="C878" s="398"/>
      <c r="D878" s="389">
        <v>3</v>
      </c>
      <c r="E878" s="389"/>
      <c r="F878" s="389">
        <v>3.94</v>
      </c>
      <c r="G878" s="390">
        <v>1</v>
      </c>
      <c r="H878" s="389">
        <f t="shared" si="95"/>
        <v>11.82</v>
      </c>
      <c r="I878" s="483"/>
      <c r="J878" s="399"/>
      <c r="K878" s="399" t="s">
        <v>3</v>
      </c>
      <c r="L878" s="389">
        <f t="shared" si="96"/>
        <v>11.82</v>
      </c>
    </row>
    <row r="879" spans="2:12" ht="14.4" x14ac:dyDescent="0.25">
      <c r="B879" s="217" t="s">
        <v>505</v>
      </c>
      <c r="C879" s="398"/>
      <c r="D879" s="389">
        <v>4.8899999999999997</v>
      </c>
      <c r="E879" s="389"/>
      <c r="F879" s="389">
        <v>3.94</v>
      </c>
      <c r="G879" s="390">
        <v>1</v>
      </c>
      <c r="H879" s="389">
        <f t="shared" si="95"/>
        <v>19.266599999999997</v>
      </c>
      <c r="I879" s="483"/>
      <c r="J879" s="399"/>
      <c r="K879" s="399" t="s">
        <v>3</v>
      </c>
      <c r="L879" s="389">
        <f t="shared" si="96"/>
        <v>19.266599999999997</v>
      </c>
    </row>
    <row r="880" spans="2:12" ht="14.4" x14ac:dyDescent="0.25">
      <c r="B880" s="217" t="s">
        <v>506</v>
      </c>
      <c r="C880" s="398"/>
      <c r="D880" s="389">
        <v>4.2699999999999996</v>
      </c>
      <c r="E880" s="389"/>
      <c r="F880" s="389">
        <v>3.94</v>
      </c>
      <c r="G880" s="390">
        <v>1</v>
      </c>
      <c r="H880" s="389">
        <f t="shared" si="95"/>
        <v>16.823799999999999</v>
      </c>
      <c r="I880" s="483"/>
      <c r="J880" s="399"/>
      <c r="K880" s="399" t="s">
        <v>3</v>
      </c>
      <c r="L880" s="389">
        <f t="shared" si="96"/>
        <v>16.823799999999999</v>
      </c>
    </row>
    <row r="881" spans="2:12" ht="14.4" x14ac:dyDescent="0.25">
      <c r="B881" s="217" t="s">
        <v>514</v>
      </c>
      <c r="C881" s="398"/>
      <c r="D881" s="389">
        <v>2.9</v>
      </c>
      <c r="E881" s="389"/>
      <c r="F881" s="389">
        <v>3.94</v>
      </c>
      <c r="G881" s="390">
        <v>1</v>
      </c>
      <c r="H881" s="389">
        <f t="shared" si="95"/>
        <v>11.426</v>
      </c>
      <c r="I881" s="483"/>
      <c r="J881" s="399"/>
      <c r="K881" s="399" t="s">
        <v>3</v>
      </c>
      <c r="L881" s="389">
        <f t="shared" si="96"/>
        <v>11.426</v>
      </c>
    </row>
    <row r="882" spans="2:12" ht="14.4" x14ac:dyDescent="0.25">
      <c r="B882" s="199" t="s">
        <v>515</v>
      </c>
      <c r="C882" s="398"/>
      <c r="D882" s="389">
        <v>6.16</v>
      </c>
      <c r="E882" s="389"/>
      <c r="F882" s="389">
        <v>3.94</v>
      </c>
      <c r="G882" s="390">
        <v>1</v>
      </c>
      <c r="H882" s="389">
        <f t="shared" si="95"/>
        <v>21.750399999999999</v>
      </c>
      <c r="I882" s="483">
        <v>2.52</v>
      </c>
      <c r="J882" s="399"/>
      <c r="K882" s="399" t="s">
        <v>3</v>
      </c>
      <c r="L882" s="389">
        <f t="shared" si="96"/>
        <v>21.750399999999999</v>
      </c>
    </row>
    <row r="883" spans="2:12" ht="14.4" x14ac:dyDescent="0.25">
      <c r="B883" s="199" t="s">
        <v>517</v>
      </c>
      <c r="C883" s="398"/>
      <c r="D883" s="389">
        <v>2.5</v>
      </c>
      <c r="E883" s="389"/>
      <c r="F883" s="389">
        <v>3.94</v>
      </c>
      <c r="G883" s="390">
        <v>1</v>
      </c>
      <c r="H883" s="389">
        <f t="shared" si="95"/>
        <v>9.85</v>
      </c>
      <c r="I883" s="483"/>
      <c r="J883" s="399"/>
      <c r="K883" s="399" t="s">
        <v>3</v>
      </c>
      <c r="L883" s="389">
        <f t="shared" si="96"/>
        <v>9.85</v>
      </c>
    </row>
    <row r="884" spans="2:12" ht="14.4" x14ac:dyDescent="0.25">
      <c r="B884" s="199" t="s">
        <v>520</v>
      </c>
      <c r="C884" s="398"/>
      <c r="D884" s="389">
        <v>2.75</v>
      </c>
      <c r="E884" s="389"/>
      <c r="F884" s="389">
        <v>3.94</v>
      </c>
      <c r="G884" s="390">
        <v>1</v>
      </c>
      <c r="H884" s="389">
        <f t="shared" si="95"/>
        <v>8.1049999999999986</v>
      </c>
      <c r="I884" s="483">
        <v>2.73</v>
      </c>
      <c r="J884" s="399"/>
      <c r="K884" s="399" t="s">
        <v>3</v>
      </c>
      <c r="L884" s="389">
        <f t="shared" si="96"/>
        <v>8.1049999999999986</v>
      </c>
    </row>
    <row r="885" spans="2:12" ht="14.4" x14ac:dyDescent="0.25">
      <c r="B885" s="199" t="s">
        <v>521</v>
      </c>
      <c r="C885" s="398"/>
      <c r="D885" s="389">
        <v>1.1100000000000001</v>
      </c>
      <c r="E885" s="389"/>
      <c r="F885" s="389">
        <v>3.94</v>
      </c>
      <c r="G885" s="390">
        <v>1</v>
      </c>
      <c r="H885" s="389">
        <f t="shared" si="95"/>
        <v>4.3734000000000002</v>
      </c>
      <c r="I885" s="483"/>
      <c r="J885" s="399"/>
      <c r="K885" s="399" t="s">
        <v>3</v>
      </c>
      <c r="L885" s="389">
        <f t="shared" si="96"/>
        <v>4.3734000000000002</v>
      </c>
    </row>
    <row r="886" spans="2:12" ht="14.4" x14ac:dyDescent="0.25">
      <c r="B886" s="199" t="s">
        <v>523</v>
      </c>
      <c r="C886" s="398"/>
      <c r="D886" s="389">
        <v>1.5</v>
      </c>
      <c r="E886" s="389"/>
      <c r="F886" s="389">
        <v>3.94</v>
      </c>
      <c r="G886" s="390">
        <v>4</v>
      </c>
      <c r="H886" s="389">
        <f t="shared" si="95"/>
        <v>13.56</v>
      </c>
      <c r="I886" s="483">
        <v>10.08</v>
      </c>
      <c r="J886" s="399"/>
      <c r="K886" s="399" t="s">
        <v>3</v>
      </c>
      <c r="L886" s="389">
        <f t="shared" si="96"/>
        <v>13.56</v>
      </c>
    </row>
    <row r="887" spans="2:12" ht="14.4" x14ac:dyDescent="0.25">
      <c r="B887" s="199" t="s">
        <v>525</v>
      </c>
      <c r="C887" s="398"/>
      <c r="D887" s="389">
        <v>0.7</v>
      </c>
      <c r="E887" s="389"/>
      <c r="F887" s="389">
        <v>3.94</v>
      </c>
      <c r="G887" s="390">
        <v>1</v>
      </c>
      <c r="H887" s="389">
        <f t="shared" si="95"/>
        <v>2.758</v>
      </c>
      <c r="I887" s="483"/>
      <c r="J887" s="399"/>
      <c r="K887" s="399" t="s">
        <v>3</v>
      </c>
      <c r="L887" s="389">
        <f t="shared" si="96"/>
        <v>2.758</v>
      </c>
    </row>
    <row r="888" spans="2:12" ht="14.4" x14ac:dyDescent="0.25">
      <c r="B888" s="199" t="s">
        <v>526</v>
      </c>
      <c r="C888" s="398"/>
      <c r="D888" s="389">
        <v>2.5</v>
      </c>
      <c r="E888" s="389"/>
      <c r="F888" s="389">
        <v>3.94</v>
      </c>
      <c r="G888" s="390">
        <v>1</v>
      </c>
      <c r="H888" s="389">
        <f t="shared" si="95"/>
        <v>7.33</v>
      </c>
      <c r="I888" s="483">
        <v>2.52</v>
      </c>
      <c r="J888" s="399"/>
      <c r="K888" s="399" t="s">
        <v>3</v>
      </c>
      <c r="L888" s="389">
        <f t="shared" si="96"/>
        <v>7.33</v>
      </c>
    </row>
    <row r="889" spans="2:12" ht="14.4" x14ac:dyDescent="0.25">
      <c r="B889" s="199" t="s">
        <v>527</v>
      </c>
      <c r="C889" s="398"/>
      <c r="D889" s="389">
        <v>4.1500000000000004</v>
      </c>
      <c r="E889" s="389"/>
      <c r="F889" s="389">
        <v>3.94</v>
      </c>
      <c r="G889" s="390">
        <v>2</v>
      </c>
      <c r="H889" s="389">
        <f t="shared" si="95"/>
        <v>27.662000000000006</v>
      </c>
      <c r="I889" s="483">
        <v>5.04</v>
      </c>
      <c r="J889" s="399"/>
      <c r="K889" s="399" t="s">
        <v>3</v>
      </c>
      <c r="L889" s="389">
        <f t="shared" si="96"/>
        <v>27.662000000000006</v>
      </c>
    </row>
    <row r="890" spans="2:12" ht="14.4" x14ac:dyDescent="0.25">
      <c r="B890" s="199" t="s">
        <v>529</v>
      </c>
      <c r="C890" s="398"/>
      <c r="D890" s="389">
        <v>1.7</v>
      </c>
      <c r="E890" s="389"/>
      <c r="F890" s="389">
        <v>3.94</v>
      </c>
      <c r="G890" s="390">
        <v>1</v>
      </c>
      <c r="H890" s="389">
        <f t="shared" si="95"/>
        <v>6.6979999999999995</v>
      </c>
      <c r="I890" s="483"/>
      <c r="J890" s="399"/>
      <c r="K890" s="399" t="s">
        <v>3</v>
      </c>
      <c r="L890" s="389">
        <f t="shared" si="96"/>
        <v>6.6979999999999995</v>
      </c>
    </row>
    <row r="891" spans="2:12" ht="14.4" x14ac:dyDescent="0.25">
      <c r="B891" s="199" t="s">
        <v>531</v>
      </c>
      <c r="C891" s="398"/>
      <c r="D891" s="389">
        <v>1.4</v>
      </c>
      <c r="E891" s="389"/>
      <c r="F891" s="389">
        <v>3.94</v>
      </c>
      <c r="G891" s="390">
        <v>1</v>
      </c>
      <c r="H891" s="389">
        <f t="shared" si="95"/>
        <v>5.516</v>
      </c>
      <c r="I891" s="483"/>
      <c r="J891" s="399"/>
      <c r="K891" s="399" t="s">
        <v>3</v>
      </c>
      <c r="L891" s="389">
        <f t="shared" si="96"/>
        <v>5.516</v>
      </c>
    </row>
    <row r="892" spans="2:12" ht="14.4" x14ac:dyDescent="0.25">
      <c r="B892" s="199" t="s">
        <v>538</v>
      </c>
      <c r="C892" s="398"/>
      <c r="D892" s="389">
        <v>7.48</v>
      </c>
      <c r="E892" s="389"/>
      <c r="F892" s="389">
        <v>3.94</v>
      </c>
      <c r="G892" s="390">
        <v>2</v>
      </c>
      <c r="H892" s="389">
        <f t="shared" si="95"/>
        <v>58.942399999999999</v>
      </c>
      <c r="I892" s="483"/>
      <c r="J892" s="399"/>
      <c r="K892" s="399" t="s">
        <v>3</v>
      </c>
      <c r="L892" s="389">
        <f t="shared" si="96"/>
        <v>58.942399999999999</v>
      </c>
    </row>
    <row r="893" spans="2:12" ht="14.4" x14ac:dyDescent="0.25">
      <c r="B893" s="199" t="s">
        <v>539</v>
      </c>
      <c r="C893" s="398"/>
      <c r="D893" s="389">
        <v>4.5</v>
      </c>
      <c r="E893" s="389"/>
      <c r="F893" s="389">
        <v>3.94</v>
      </c>
      <c r="G893" s="390">
        <v>2</v>
      </c>
      <c r="H893" s="389">
        <f t="shared" si="95"/>
        <v>35.46</v>
      </c>
      <c r="I893" s="483"/>
      <c r="J893" s="399"/>
      <c r="K893" s="399" t="s">
        <v>3</v>
      </c>
      <c r="L893" s="389">
        <f t="shared" si="96"/>
        <v>35.46</v>
      </c>
    </row>
    <row r="894" spans="2:12" ht="14.4" x14ac:dyDescent="0.25">
      <c r="B894" s="199" t="s">
        <v>540</v>
      </c>
      <c r="C894" s="398"/>
      <c r="D894" s="389">
        <v>8.48</v>
      </c>
      <c r="E894" s="389"/>
      <c r="F894" s="389">
        <v>3.94</v>
      </c>
      <c r="G894" s="390">
        <v>2</v>
      </c>
      <c r="H894" s="389">
        <f t="shared" si="95"/>
        <v>66.822400000000002</v>
      </c>
      <c r="I894" s="483"/>
      <c r="J894" s="399"/>
      <c r="K894" s="399" t="s">
        <v>3</v>
      </c>
      <c r="L894" s="389">
        <f t="shared" si="96"/>
        <v>66.822400000000002</v>
      </c>
    </row>
    <row r="895" spans="2:12" ht="14.4" x14ac:dyDescent="0.25">
      <c r="B895" s="199" t="s">
        <v>541</v>
      </c>
      <c r="C895" s="398"/>
      <c r="D895" s="389">
        <v>5.2</v>
      </c>
      <c r="E895" s="389"/>
      <c r="F895" s="389">
        <v>3.94</v>
      </c>
      <c r="G895" s="390">
        <v>2</v>
      </c>
      <c r="H895" s="389">
        <f t="shared" si="95"/>
        <v>40.975999999999999</v>
      </c>
      <c r="I895" s="483"/>
      <c r="J895" s="399"/>
      <c r="K895" s="399" t="s">
        <v>3</v>
      </c>
      <c r="L895" s="389">
        <f t="shared" si="96"/>
        <v>40.975999999999999</v>
      </c>
    </row>
    <row r="896" spans="2:12" ht="14.4" x14ac:dyDescent="0.25">
      <c r="B896" s="199" t="s">
        <v>544</v>
      </c>
      <c r="C896" s="398"/>
      <c r="D896" s="389">
        <v>1.84</v>
      </c>
      <c r="E896" s="389"/>
      <c r="F896" s="389">
        <v>3.94</v>
      </c>
      <c r="G896" s="390">
        <v>4</v>
      </c>
      <c r="H896" s="389">
        <f t="shared" si="95"/>
        <v>28.9984</v>
      </c>
      <c r="I896" s="483"/>
      <c r="J896" s="399"/>
      <c r="K896" s="399" t="s">
        <v>3</v>
      </c>
      <c r="L896" s="389">
        <f t="shared" si="96"/>
        <v>28.9984</v>
      </c>
    </row>
    <row r="897" spans="2:12" ht="14.4" x14ac:dyDescent="0.25">
      <c r="B897" s="199" t="s">
        <v>545</v>
      </c>
      <c r="C897" s="398"/>
      <c r="D897" s="389">
        <v>6.78</v>
      </c>
      <c r="E897" s="389"/>
      <c r="F897" s="389">
        <v>3.94</v>
      </c>
      <c r="G897" s="390">
        <v>1</v>
      </c>
      <c r="H897" s="389">
        <f t="shared" si="95"/>
        <v>26.713200000000001</v>
      </c>
      <c r="I897" s="483"/>
      <c r="J897" s="399"/>
      <c r="K897" s="399" t="s">
        <v>3</v>
      </c>
      <c r="L897" s="389">
        <f t="shared" si="96"/>
        <v>26.713200000000001</v>
      </c>
    </row>
    <row r="898" spans="2:12" ht="14.4" x14ac:dyDescent="0.25">
      <c r="B898" s="199" t="s">
        <v>546</v>
      </c>
      <c r="C898" s="398"/>
      <c r="D898" s="389">
        <v>2.2599999999999998</v>
      </c>
      <c r="E898" s="389"/>
      <c r="F898" s="389">
        <v>3.94</v>
      </c>
      <c r="G898" s="390">
        <v>2</v>
      </c>
      <c r="H898" s="389">
        <f t="shared" si="95"/>
        <v>10.038799999999998</v>
      </c>
      <c r="I898" s="483">
        <v>7.77</v>
      </c>
      <c r="J898" s="399"/>
      <c r="K898" s="399" t="s">
        <v>3</v>
      </c>
      <c r="L898" s="389">
        <f t="shared" si="96"/>
        <v>10.038799999999998</v>
      </c>
    </row>
    <row r="899" spans="2:12" ht="14.4" x14ac:dyDescent="0.25">
      <c r="B899" s="391" t="s">
        <v>563</v>
      </c>
      <c r="C899" s="205"/>
      <c r="D899" s="392">
        <f>SUM(D859:D898)</f>
        <v>123.96000000000005</v>
      </c>
      <c r="E899" s="401"/>
      <c r="F899" s="393"/>
      <c r="G899" s="394"/>
      <c r="H899" s="395"/>
      <c r="I899" s="395"/>
      <c r="J899" s="395"/>
      <c r="K899" s="396" t="s">
        <v>3</v>
      </c>
      <c r="L899" s="397">
        <f>SUM(L859:L898)</f>
        <v>614.23800000000006</v>
      </c>
    </row>
    <row r="900" spans="2:12" ht="14.4" x14ac:dyDescent="0.25">
      <c r="B900" s="822" t="s">
        <v>1</v>
      </c>
      <c r="C900" s="55" t="s">
        <v>0</v>
      </c>
      <c r="D900" s="52" t="s">
        <v>12</v>
      </c>
      <c r="E900" s="52" t="s">
        <v>4</v>
      </c>
      <c r="F900" s="52" t="s">
        <v>2</v>
      </c>
      <c r="G900" s="52" t="s">
        <v>6</v>
      </c>
      <c r="H900" s="148" t="s">
        <v>5</v>
      </c>
      <c r="I900" s="56" t="s">
        <v>13</v>
      </c>
      <c r="J900" s="148" t="s">
        <v>14</v>
      </c>
      <c r="K900" s="822" t="s">
        <v>7</v>
      </c>
      <c r="L900" s="824" t="s">
        <v>8</v>
      </c>
    </row>
    <row r="901" spans="2:12" ht="14.4" x14ac:dyDescent="0.3">
      <c r="B901" s="823"/>
      <c r="C901" s="80" t="s">
        <v>9</v>
      </c>
      <c r="D901" s="81" t="s">
        <v>10</v>
      </c>
      <c r="E901" s="81" t="s">
        <v>10</v>
      </c>
      <c r="F901" s="81" t="s">
        <v>10</v>
      </c>
      <c r="G901" s="80" t="s">
        <v>9</v>
      </c>
      <c r="H901" s="82" t="s">
        <v>11</v>
      </c>
      <c r="I901" s="113" t="s">
        <v>11</v>
      </c>
      <c r="J901" s="82" t="s">
        <v>15</v>
      </c>
      <c r="K901" s="823"/>
      <c r="L901" s="825"/>
    </row>
    <row r="902" spans="2:12" ht="14.4" x14ac:dyDescent="0.3">
      <c r="B902" s="20" t="s">
        <v>695</v>
      </c>
      <c r="C902" s="381"/>
      <c r="D902" s="382"/>
      <c r="E902" s="382"/>
      <c r="F902" s="382"/>
      <c r="G902" s="381"/>
      <c r="H902" s="383"/>
      <c r="I902" s="384"/>
      <c r="J902" s="383"/>
      <c r="K902" s="383"/>
      <c r="L902" s="7"/>
    </row>
    <row r="903" spans="2:12" ht="14.4" x14ac:dyDescent="0.3">
      <c r="B903" s="379" t="s">
        <v>492</v>
      </c>
      <c r="C903" s="385"/>
      <c r="D903" s="483">
        <v>4</v>
      </c>
      <c r="E903" s="386"/>
      <c r="F903" s="16">
        <v>3.94</v>
      </c>
      <c r="G903" s="478">
        <v>1</v>
      </c>
      <c r="H903" s="389">
        <f t="shared" ref="H903:H925" si="97">D903*F903*G903-I903</f>
        <v>13.24</v>
      </c>
      <c r="I903" s="507">
        <v>2.52</v>
      </c>
      <c r="J903" s="387"/>
      <c r="K903" s="387" t="s">
        <v>3</v>
      </c>
      <c r="L903" s="389">
        <f t="shared" ref="L903:L932" si="98">H903</f>
        <v>13.24</v>
      </c>
    </row>
    <row r="904" spans="2:12" ht="14.4" x14ac:dyDescent="0.25">
      <c r="B904" s="15" t="s">
        <v>494</v>
      </c>
      <c r="C904" s="11"/>
      <c r="D904" s="16">
        <v>2.7</v>
      </c>
      <c r="E904" s="479"/>
      <c r="F904" s="16">
        <v>3.94</v>
      </c>
      <c r="G904" s="478">
        <v>1</v>
      </c>
      <c r="H904" s="389">
        <f t="shared" si="97"/>
        <v>10.638</v>
      </c>
      <c r="I904" s="50"/>
      <c r="J904" s="17"/>
      <c r="K904" s="50" t="s">
        <v>3</v>
      </c>
      <c r="L904" s="389">
        <f t="shared" si="98"/>
        <v>10.638</v>
      </c>
    </row>
    <row r="905" spans="2:12" ht="14.4" x14ac:dyDescent="0.25">
      <c r="B905" s="15" t="s">
        <v>495</v>
      </c>
      <c r="C905" s="11"/>
      <c r="D905" s="16">
        <v>3.35</v>
      </c>
      <c r="E905" s="479"/>
      <c r="F905" s="16">
        <v>3.94</v>
      </c>
      <c r="G905" s="478">
        <v>1</v>
      </c>
      <c r="H905" s="389">
        <f t="shared" si="97"/>
        <v>13.199</v>
      </c>
      <c r="I905" s="17"/>
      <c r="J905" s="17"/>
      <c r="K905" s="50" t="s">
        <v>3</v>
      </c>
      <c r="L905" s="389">
        <f t="shared" si="98"/>
        <v>13.199</v>
      </c>
    </row>
    <row r="906" spans="2:12" ht="14.4" x14ac:dyDescent="0.25">
      <c r="B906" s="15" t="s">
        <v>497</v>
      </c>
      <c r="C906" s="11"/>
      <c r="D906" s="16">
        <v>2.85</v>
      </c>
      <c r="E906" s="479"/>
      <c r="F906" s="16">
        <v>3.94</v>
      </c>
      <c r="G906" s="478">
        <v>1</v>
      </c>
      <c r="H906" s="389">
        <f t="shared" si="97"/>
        <v>11.229000000000001</v>
      </c>
      <c r="I906" s="17"/>
      <c r="J906" s="17"/>
      <c r="K906" s="50" t="s">
        <v>3</v>
      </c>
      <c r="L906" s="389">
        <f t="shared" si="98"/>
        <v>11.229000000000001</v>
      </c>
    </row>
    <row r="907" spans="2:12" ht="14.4" x14ac:dyDescent="0.25">
      <c r="B907" s="15" t="s">
        <v>498</v>
      </c>
      <c r="C907" s="11"/>
      <c r="D907" s="16">
        <v>2</v>
      </c>
      <c r="E907" s="479"/>
      <c r="F907" s="16">
        <v>3.94</v>
      </c>
      <c r="G907" s="478">
        <v>1</v>
      </c>
      <c r="H907" s="389">
        <f t="shared" si="97"/>
        <v>7.88</v>
      </c>
      <c r="I907" s="17"/>
      <c r="J907" s="17"/>
      <c r="K907" s="50" t="s">
        <v>3</v>
      </c>
      <c r="L907" s="389">
        <f t="shared" si="98"/>
        <v>7.88</v>
      </c>
    </row>
    <row r="908" spans="2:12" ht="14.4" x14ac:dyDescent="0.25">
      <c r="B908" s="15" t="s">
        <v>499</v>
      </c>
      <c r="C908" s="11"/>
      <c r="D908" s="16">
        <v>2.35</v>
      </c>
      <c r="E908" s="479"/>
      <c r="F908" s="16">
        <v>3.94</v>
      </c>
      <c r="G908" s="478">
        <v>1</v>
      </c>
      <c r="H908" s="389">
        <f t="shared" si="97"/>
        <v>9.2590000000000003</v>
      </c>
      <c r="I908" s="17"/>
      <c r="J908" s="17"/>
      <c r="K908" s="50" t="s">
        <v>3</v>
      </c>
      <c r="L908" s="389">
        <f t="shared" si="98"/>
        <v>9.2590000000000003</v>
      </c>
    </row>
    <row r="909" spans="2:12" ht="14.4" x14ac:dyDescent="0.25">
      <c r="B909" s="15" t="s">
        <v>501</v>
      </c>
      <c r="C909" s="11"/>
      <c r="D909" s="16">
        <v>1.83</v>
      </c>
      <c r="E909" s="479"/>
      <c r="F909" s="16">
        <v>3.94</v>
      </c>
      <c r="G909" s="478">
        <v>1</v>
      </c>
      <c r="H909" s="389">
        <f t="shared" si="97"/>
        <v>7.2102000000000004</v>
      </c>
      <c r="I909" s="17"/>
      <c r="J909" s="17"/>
      <c r="K909" s="50" t="s">
        <v>3</v>
      </c>
      <c r="L909" s="389">
        <f t="shared" si="98"/>
        <v>7.2102000000000004</v>
      </c>
    </row>
    <row r="910" spans="2:12" ht="14.4" x14ac:dyDescent="0.25">
      <c r="B910" s="15" t="s">
        <v>502</v>
      </c>
      <c r="C910" s="11"/>
      <c r="D910" s="16">
        <v>1.86</v>
      </c>
      <c r="E910" s="479"/>
      <c r="F910" s="16">
        <v>3.94</v>
      </c>
      <c r="G910" s="478">
        <v>1</v>
      </c>
      <c r="H910" s="389">
        <f t="shared" si="97"/>
        <v>7.3284000000000002</v>
      </c>
      <c r="I910" s="17"/>
      <c r="J910" s="17"/>
      <c r="K910" s="50" t="s">
        <v>3</v>
      </c>
      <c r="L910" s="389">
        <f t="shared" si="98"/>
        <v>7.3284000000000002</v>
      </c>
    </row>
    <row r="911" spans="2:12" ht="14.4" x14ac:dyDescent="0.25">
      <c r="B911" s="15" t="s">
        <v>503</v>
      </c>
      <c r="C911" s="11"/>
      <c r="D911" s="16">
        <v>1.99</v>
      </c>
      <c r="E911" s="479"/>
      <c r="F911" s="16">
        <v>3.94</v>
      </c>
      <c r="G911" s="478">
        <v>1</v>
      </c>
      <c r="H911" s="389">
        <f t="shared" si="97"/>
        <v>7.8406000000000002</v>
      </c>
      <c r="I911" s="17"/>
      <c r="J911" s="17"/>
      <c r="K911" s="50" t="s">
        <v>3</v>
      </c>
      <c r="L911" s="389">
        <f t="shared" si="98"/>
        <v>7.8406000000000002</v>
      </c>
    </row>
    <row r="912" spans="2:12" ht="14.4" x14ac:dyDescent="0.25">
      <c r="B912" s="15" t="s">
        <v>504</v>
      </c>
      <c r="C912" s="11"/>
      <c r="D912" s="16">
        <v>7.48</v>
      </c>
      <c r="E912" s="479"/>
      <c r="F912" s="16">
        <v>3.94</v>
      </c>
      <c r="G912" s="478">
        <v>1</v>
      </c>
      <c r="H912" s="389">
        <f t="shared" si="97"/>
        <v>29.4712</v>
      </c>
      <c r="I912" s="17"/>
      <c r="J912" s="17"/>
      <c r="K912" s="50" t="s">
        <v>3</v>
      </c>
      <c r="L912" s="389">
        <f t="shared" si="98"/>
        <v>29.4712</v>
      </c>
    </row>
    <row r="913" spans="2:12" ht="14.4" x14ac:dyDescent="0.25">
      <c r="B913" s="15" t="s">
        <v>507</v>
      </c>
      <c r="C913" s="11"/>
      <c r="D913" s="16">
        <v>6.27</v>
      </c>
      <c r="E913" s="479"/>
      <c r="F913" s="16">
        <v>3.94</v>
      </c>
      <c r="G913" s="478">
        <v>1</v>
      </c>
      <c r="H913" s="389">
        <f t="shared" si="97"/>
        <v>24.703799999999998</v>
      </c>
      <c r="I913" s="17"/>
      <c r="J913" s="17"/>
      <c r="K913" s="50" t="s">
        <v>3</v>
      </c>
      <c r="L913" s="389">
        <f t="shared" si="98"/>
        <v>24.703799999999998</v>
      </c>
    </row>
    <row r="914" spans="2:12" ht="14.4" x14ac:dyDescent="0.25">
      <c r="B914" s="15" t="s">
        <v>508</v>
      </c>
      <c r="C914" s="11"/>
      <c r="D914" s="16">
        <v>1.66</v>
      </c>
      <c r="E914" s="479"/>
      <c r="F914" s="16">
        <v>3.94</v>
      </c>
      <c r="G914" s="478">
        <v>1</v>
      </c>
      <c r="H914" s="389">
        <f t="shared" si="97"/>
        <v>6.5404</v>
      </c>
      <c r="I914" s="17"/>
      <c r="J914" s="17"/>
      <c r="K914" s="50" t="s">
        <v>3</v>
      </c>
      <c r="L914" s="389">
        <f t="shared" si="98"/>
        <v>6.5404</v>
      </c>
    </row>
    <row r="915" spans="2:12" ht="14.4" x14ac:dyDescent="0.25">
      <c r="B915" s="15" t="s">
        <v>509</v>
      </c>
      <c r="C915" s="11"/>
      <c r="D915" s="16">
        <v>0.3</v>
      </c>
      <c r="E915" s="479"/>
      <c r="F915" s="16">
        <v>3.94</v>
      </c>
      <c r="G915" s="478">
        <v>2</v>
      </c>
      <c r="H915" s="389">
        <f t="shared" si="97"/>
        <v>2.3639999999999999</v>
      </c>
      <c r="I915" s="17"/>
      <c r="J915" s="17"/>
      <c r="K915" s="50" t="s">
        <v>3</v>
      </c>
      <c r="L915" s="389">
        <f t="shared" si="98"/>
        <v>2.3639999999999999</v>
      </c>
    </row>
    <row r="916" spans="2:12" ht="14.4" x14ac:dyDescent="0.25">
      <c r="B916" s="15" t="s">
        <v>510</v>
      </c>
      <c r="C916" s="11"/>
      <c r="D916" s="16">
        <v>1.72</v>
      </c>
      <c r="E916" s="479"/>
      <c r="F916" s="16">
        <v>3.94</v>
      </c>
      <c r="G916" s="478">
        <v>1</v>
      </c>
      <c r="H916" s="389">
        <f t="shared" si="97"/>
        <v>6.7767999999999997</v>
      </c>
      <c r="I916" s="17"/>
      <c r="J916" s="17"/>
      <c r="K916" s="50" t="s">
        <v>3</v>
      </c>
      <c r="L916" s="389">
        <f t="shared" si="98"/>
        <v>6.7767999999999997</v>
      </c>
    </row>
    <row r="917" spans="2:12" ht="14.4" x14ac:dyDescent="0.25">
      <c r="B917" s="15" t="s">
        <v>511</v>
      </c>
      <c r="C917" s="11"/>
      <c r="D917" s="16">
        <v>1.7</v>
      </c>
      <c r="E917" s="479"/>
      <c r="F917" s="16">
        <v>3.94</v>
      </c>
      <c r="G917" s="478">
        <v>1</v>
      </c>
      <c r="H917" s="389">
        <f t="shared" si="97"/>
        <v>6.6979999999999995</v>
      </c>
      <c r="I917" s="17"/>
      <c r="J917" s="17"/>
      <c r="K917" s="50" t="s">
        <v>3</v>
      </c>
      <c r="L917" s="389">
        <f t="shared" si="98"/>
        <v>6.6979999999999995</v>
      </c>
    </row>
    <row r="918" spans="2:12" ht="14.4" x14ac:dyDescent="0.25">
      <c r="B918" s="15" t="s">
        <v>512</v>
      </c>
      <c r="C918" s="11"/>
      <c r="D918" s="16">
        <v>2.4500000000000002</v>
      </c>
      <c r="E918" s="479"/>
      <c r="F918" s="16">
        <v>3.94</v>
      </c>
      <c r="G918" s="478">
        <v>1</v>
      </c>
      <c r="H918" s="389">
        <f t="shared" si="97"/>
        <v>9.6530000000000005</v>
      </c>
      <c r="I918" s="17"/>
      <c r="J918" s="17"/>
      <c r="K918" s="50" t="s">
        <v>3</v>
      </c>
      <c r="L918" s="389">
        <f t="shared" si="98"/>
        <v>9.6530000000000005</v>
      </c>
    </row>
    <row r="919" spans="2:12" ht="14.4" x14ac:dyDescent="0.25">
      <c r="B919" s="15" t="s">
        <v>516</v>
      </c>
      <c r="C919" s="11"/>
      <c r="D919" s="16">
        <v>2</v>
      </c>
      <c r="E919" s="479"/>
      <c r="F919" s="16">
        <v>3.94</v>
      </c>
      <c r="G919" s="478">
        <v>1</v>
      </c>
      <c r="H919" s="389">
        <f t="shared" si="97"/>
        <v>7.88</v>
      </c>
      <c r="I919" s="17"/>
      <c r="J919" s="17"/>
      <c r="K919" s="50" t="s">
        <v>3</v>
      </c>
      <c r="L919" s="389">
        <f t="shared" si="98"/>
        <v>7.88</v>
      </c>
    </row>
    <row r="920" spans="2:12" ht="14.4" x14ac:dyDescent="0.25">
      <c r="B920" s="15" t="s">
        <v>518</v>
      </c>
      <c r="C920" s="11"/>
      <c r="D920" s="16">
        <v>2.29</v>
      </c>
      <c r="E920" s="479"/>
      <c r="F920" s="16">
        <v>3.94</v>
      </c>
      <c r="G920" s="478">
        <v>1</v>
      </c>
      <c r="H920" s="389">
        <f t="shared" si="97"/>
        <v>9.0226000000000006</v>
      </c>
      <c r="I920" s="17"/>
      <c r="J920" s="17"/>
      <c r="K920" s="50" t="s">
        <v>3</v>
      </c>
      <c r="L920" s="389">
        <f t="shared" si="98"/>
        <v>9.0226000000000006</v>
      </c>
    </row>
    <row r="921" spans="2:12" ht="14.4" x14ac:dyDescent="0.25">
      <c r="B921" s="15" t="s">
        <v>519</v>
      </c>
      <c r="C921" s="11"/>
      <c r="D921" s="16">
        <v>6.42</v>
      </c>
      <c r="E921" s="479"/>
      <c r="F921" s="16">
        <v>3.94</v>
      </c>
      <c r="G921" s="478">
        <v>1</v>
      </c>
      <c r="H921" s="389">
        <f t="shared" si="97"/>
        <v>25.294799999999999</v>
      </c>
      <c r="I921" s="17"/>
      <c r="J921" s="17"/>
      <c r="K921" s="50" t="s">
        <v>3</v>
      </c>
      <c r="L921" s="389">
        <f t="shared" si="98"/>
        <v>25.294799999999999</v>
      </c>
    </row>
    <row r="922" spans="2:12" ht="14.4" x14ac:dyDescent="0.25">
      <c r="B922" s="15" t="s">
        <v>521</v>
      </c>
      <c r="C922" s="11"/>
      <c r="D922" s="16">
        <v>1.49</v>
      </c>
      <c r="E922" s="479"/>
      <c r="F922" s="16">
        <v>3.94</v>
      </c>
      <c r="G922" s="478">
        <v>1</v>
      </c>
      <c r="H922" s="389">
        <f t="shared" si="97"/>
        <v>5.8705999999999996</v>
      </c>
      <c r="I922" s="17"/>
      <c r="J922" s="17"/>
      <c r="K922" s="50" t="s">
        <v>3</v>
      </c>
      <c r="L922" s="389">
        <f t="shared" si="98"/>
        <v>5.8705999999999996</v>
      </c>
    </row>
    <row r="923" spans="2:12" ht="14.4" x14ac:dyDescent="0.25">
      <c r="B923" s="15" t="s">
        <v>524</v>
      </c>
      <c r="C923" s="11"/>
      <c r="D923" s="16">
        <v>3.85</v>
      </c>
      <c r="E923" s="479"/>
      <c r="F923" s="16">
        <v>3.94</v>
      </c>
      <c r="G923" s="478">
        <v>8</v>
      </c>
      <c r="H923" s="389">
        <f t="shared" si="97"/>
        <v>121.352</v>
      </c>
      <c r="I923" s="17"/>
      <c r="J923" s="17"/>
      <c r="K923" s="50" t="s">
        <v>3</v>
      </c>
      <c r="L923" s="389">
        <f t="shared" si="98"/>
        <v>121.352</v>
      </c>
    </row>
    <row r="924" spans="2:12" ht="14.4" x14ac:dyDescent="0.25">
      <c r="B924" s="15" t="s">
        <v>528</v>
      </c>
      <c r="C924" s="11"/>
      <c r="D924" s="16">
        <v>2</v>
      </c>
      <c r="E924" s="479"/>
      <c r="F924" s="16">
        <v>3.94</v>
      </c>
      <c r="G924" s="478">
        <v>1</v>
      </c>
      <c r="H924" s="389">
        <f t="shared" si="97"/>
        <v>7.88</v>
      </c>
      <c r="I924" s="17"/>
      <c r="J924" s="17"/>
      <c r="K924" s="50" t="s">
        <v>3</v>
      </c>
      <c r="L924" s="389">
        <f t="shared" si="98"/>
        <v>7.88</v>
      </c>
    </row>
    <row r="925" spans="2:12" ht="14.4" x14ac:dyDescent="0.25">
      <c r="B925" s="15" t="s">
        <v>530</v>
      </c>
      <c r="C925" s="11"/>
      <c r="D925" s="16">
        <v>1.7</v>
      </c>
      <c r="E925" s="479"/>
      <c r="F925" s="16">
        <v>3.94</v>
      </c>
      <c r="G925" s="478">
        <v>1</v>
      </c>
      <c r="H925" s="389">
        <f t="shared" si="97"/>
        <v>6.6979999999999995</v>
      </c>
      <c r="I925" s="17"/>
      <c r="J925" s="17"/>
      <c r="K925" s="50" t="s">
        <v>3</v>
      </c>
      <c r="L925" s="389">
        <f t="shared" si="98"/>
        <v>6.6979999999999995</v>
      </c>
    </row>
    <row r="926" spans="2:12" ht="14.4" x14ac:dyDescent="0.25">
      <c r="B926" s="15" t="s">
        <v>532</v>
      </c>
      <c r="C926" s="11"/>
      <c r="D926" s="16">
        <v>1.92</v>
      </c>
      <c r="E926" s="479"/>
      <c r="F926" s="16">
        <v>3.94</v>
      </c>
      <c r="G926" s="478">
        <v>1</v>
      </c>
      <c r="H926" s="389">
        <f>D926*F926*G926-I926</f>
        <v>5.0448000000000004</v>
      </c>
      <c r="I926" s="17">
        <v>2.52</v>
      </c>
      <c r="J926" s="17"/>
      <c r="K926" s="50" t="s">
        <v>3</v>
      </c>
      <c r="L926" s="389">
        <f t="shared" si="98"/>
        <v>5.0448000000000004</v>
      </c>
    </row>
    <row r="927" spans="2:12" ht="14.4" x14ac:dyDescent="0.25">
      <c r="B927" s="15" t="s">
        <v>533</v>
      </c>
      <c r="C927" s="11"/>
      <c r="D927" s="16">
        <v>1.55</v>
      </c>
      <c r="E927" s="479"/>
      <c r="F927" s="16">
        <v>3.94</v>
      </c>
      <c r="G927" s="478">
        <v>1</v>
      </c>
      <c r="H927" s="389">
        <f>D927*F927*G927-I927</f>
        <v>6.1070000000000002</v>
      </c>
      <c r="I927" s="17"/>
      <c r="J927" s="17"/>
      <c r="K927" s="50" t="s">
        <v>3</v>
      </c>
      <c r="L927" s="389">
        <f t="shared" si="98"/>
        <v>6.1070000000000002</v>
      </c>
    </row>
    <row r="928" spans="2:12" ht="14.4" x14ac:dyDescent="0.25">
      <c r="B928" s="15" t="s">
        <v>534</v>
      </c>
      <c r="C928" s="11"/>
      <c r="D928" s="16">
        <v>2.7</v>
      </c>
      <c r="E928" s="479"/>
      <c r="F928" s="16">
        <v>3.94</v>
      </c>
      <c r="G928" s="478">
        <v>11</v>
      </c>
      <c r="H928" s="389">
        <f t="shared" ref="H928:H932" si="99">D928*F928*G928-I928</f>
        <v>117.018</v>
      </c>
      <c r="I928" s="17"/>
      <c r="J928" s="17"/>
      <c r="K928" s="50" t="s">
        <v>3</v>
      </c>
      <c r="L928" s="389">
        <f t="shared" si="98"/>
        <v>117.018</v>
      </c>
    </row>
    <row r="929" spans="2:12" ht="14.4" x14ac:dyDescent="0.25">
      <c r="B929" s="15" t="s">
        <v>536</v>
      </c>
      <c r="C929" s="11"/>
      <c r="D929" s="16">
        <v>2.37</v>
      </c>
      <c r="E929" s="479"/>
      <c r="F929" s="16">
        <v>3.94</v>
      </c>
      <c r="G929" s="478">
        <v>2</v>
      </c>
      <c r="H929" s="389">
        <f t="shared" si="99"/>
        <v>18.675599999999999</v>
      </c>
      <c r="I929" s="17"/>
      <c r="J929" s="17"/>
      <c r="K929" s="50" t="s">
        <v>3</v>
      </c>
      <c r="L929" s="389">
        <f t="shared" si="98"/>
        <v>18.675599999999999</v>
      </c>
    </row>
    <row r="930" spans="2:12" ht="14.4" x14ac:dyDescent="0.25">
      <c r="B930" s="15" t="s">
        <v>537</v>
      </c>
      <c r="C930" s="11"/>
      <c r="D930" s="16">
        <v>1.65</v>
      </c>
      <c r="E930" s="479"/>
      <c r="F930" s="16">
        <v>3.94</v>
      </c>
      <c r="G930" s="478">
        <v>2</v>
      </c>
      <c r="H930" s="389">
        <f t="shared" si="99"/>
        <v>13.001999999999999</v>
      </c>
      <c r="I930" s="17"/>
      <c r="J930" s="17"/>
      <c r="K930" s="50" t="s">
        <v>3</v>
      </c>
      <c r="L930" s="389">
        <f t="shared" si="98"/>
        <v>13.001999999999999</v>
      </c>
    </row>
    <row r="931" spans="2:12" ht="14.4" x14ac:dyDescent="0.25">
      <c r="B931" s="15" t="s">
        <v>542</v>
      </c>
      <c r="C931" s="11"/>
      <c r="D931" s="16">
        <v>1.4</v>
      </c>
      <c r="E931" s="479"/>
      <c r="F931" s="16">
        <v>3.94</v>
      </c>
      <c r="G931" s="478">
        <v>1</v>
      </c>
      <c r="H931" s="389">
        <f t="shared" si="99"/>
        <v>5.516</v>
      </c>
      <c r="I931" s="17"/>
      <c r="J931" s="17"/>
      <c r="K931" s="50" t="s">
        <v>3</v>
      </c>
      <c r="L931" s="389">
        <f t="shared" si="98"/>
        <v>5.516</v>
      </c>
    </row>
    <row r="932" spans="2:12" ht="14.4" x14ac:dyDescent="0.25">
      <c r="B932" s="480" t="s">
        <v>543</v>
      </c>
      <c r="C932" s="11"/>
      <c r="D932" s="16">
        <v>1.85</v>
      </c>
      <c r="E932" s="479"/>
      <c r="F932" s="16">
        <v>3.94</v>
      </c>
      <c r="G932" s="478">
        <v>1</v>
      </c>
      <c r="H932" s="389">
        <f t="shared" si="99"/>
        <v>7.2890000000000006</v>
      </c>
      <c r="I932" s="17"/>
      <c r="J932" s="17"/>
      <c r="K932" s="50" t="s">
        <v>3</v>
      </c>
      <c r="L932" s="389">
        <f t="shared" si="98"/>
        <v>7.2890000000000006</v>
      </c>
    </row>
    <row r="933" spans="2:12" ht="14.4" x14ac:dyDescent="0.25">
      <c r="B933" s="21" t="s">
        <v>563</v>
      </c>
      <c r="C933" s="12"/>
      <c r="D933" s="35">
        <f>SUM(D903:D932)</f>
        <v>77.7</v>
      </c>
      <c r="E933" s="18"/>
      <c r="F933" s="10"/>
      <c r="G933" s="22"/>
      <c r="H933" s="19"/>
      <c r="I933" s="19"/>
      <c r="J933" s="19"/>
      <c r="K933" s="23" t="s">
        <v>3</v>
      </c>
      <c r="L933" s="499">
        <f>SUM(L903:L932)</f>
        <v>530.68179999999995</v>
      </c>
    </row>
    <row r="934" spans="2:12" ht="14.4" x14ac:dyDescent="0.25">
      <c r="B934" s="822" t="s">
        <v>1</v>
      </c>
      <c r="C934" s="55" t="s">
        <v>0</v>
      </c>
      <c r="D934" s="52" t="s">
        <v>12</v>
      </c>
      <c r="E934" s="52" t="s">
        <v>4</v>
      </c>
      <c r="F934" s="52" t="s">
        <v>2</v>
      </c>
      <c r="G934" s="52" t="s">
        <v>6</v>
      </c>
      <c r="H934" s="148" t="s">
        <v>5</v>
      </c>
      <c r="I934" s="56" t="s">
        <v>13</v>
      </c>
      <c r="J934" s="148" t="s">
        <v>14</v>
      </c>
      <c r="K934" s="822" t="s">
        <v>7</v>
      </c>
      <c r="L934" s="824" t="s">
        <v>8</v>
      </c>
    </row>
    <row r="935" spans="2:12" ht="14.4" x14ac:dyDescent="0.3">
      <c r="B935" s="823"/>
      <c r="C935" s="80" t="s">
        <v>9</v>
      </c>
      <c r="D935" s="81" t="s">
        <v>10</v>
      </c>
      <c r="E935" s="81" t="s">
        <v>10</v>
      </c>
      <c r="F935" s="81" t="s">
        <v>10</v>
      </c>
      <c r="G935" s="80" t="s">
        <v>9</v>
      </c>
      <c r="H935" s="82" t="s">
        <v>11</v>
      </c>
      <c r="I935" s="113" t="s">
        <v>11</v>
      </c>
      <c r="J935" s="82" t="s">
        <v>15</v>
      </c>
      <c r="K935" s="823"/>
      <c r="L935" s="825"/>
    </row>
    <row r="936" spans="2:12" ht="14.4" x14ac:dyDescent="0.3">
      <c r="B936" s="20" t="s">
        <v>698</v>
      </c>
      <c r="C936" s="381"/>
      <c r="D936" s="382"/>
      <c r="E936" s="382"/>
      <c r="F936" s="382"/>
      <c r="G936" s="381"/>
      <c r="H936" s="383"/>
      <c r="I936" s="384"/>
      <c r="J936" s="383"/>
      <c r="K936" s="383"/>
      <c r="L936" s="7"/>
    </row>
    <row r="937" spans="2:12" ht="14.4" x14ac:dyDescent="0.25">
      <c r="B937" s="217" t="s">
        <v>481</v>
      </c>
      <c r="C937" s="398"/>
      <c r="D937" s="483">
        <v>1.53</v>
      </c>
      <c r="E937" s="389"/>
      <c r="F937" s="389">
        <v>1</v>
      </c>
      <c r="G937" s="390">
        <v>1</v>
      </c>
      <c r="H937" s="389">
        <f t="shared" ref="H937:H938" si="100">D937*F937*G937-I937</f>
        <v>1.53</v>
      </c>
      <c r="I937" s="481"/>
      <c r="J937" s="399"/>
      <c r="K937" s="399" t="s">
        <v>3</v>
      </c>
      <c r="L937" s="483">
        <f t="shared" ref="L937:L938" si="101">H937</f>
        <v>1.53</v>
      </c>
    </row>
    <row r="938" spans="2:12" ht="14.4" x14ac:dyDescent="0.25">
      <c r="B938" s="217" t="s">
        <v>513</v>
      </c>
      <c r="C938" s="398"/>
      <c r="D938" s="483">
        <v>0.45</v>
      </c>
      <c r="E938" s="389"/>
      <c r="F938" s="389">
        <v>1</v>
      </c>
      <c r="G938" s="390">
        <v>1</v>
      </c>
      <c r="H938" s="389">
        <f t="shared" si="100"/>
        <v>0.45</v>
      </c>
      <c r="I938" s="481"/>
      <c r="J938" s="399"/>
      <c r="K938" s="399" t="s">
        <v>3</v>
      </c>
      <c r="L938" s="483">
        <f t="shared" si="101"/>
        <v>0.45</v>
      </c>
    </row>
    <row r="939" spans="2:12" ht="14.4" x14ac:dyDescent="0.25">
      <c r="B939" s="21" t="s">
        <v>563</v>
      </c>
      <c r="C939" s="12"/>
      <c r="D939" s="35">
        <f>SUM(D937:D938)</f>
        <v>1.98</v>
      </c>
      <c r="E939" s="459"/>
      <c r="F939" s="10"/>
      <c r="G939" s="22"/>
      <c r="H939" s="19"/>
      <c r="I939" s="19"/>
      <c r="J939" s="19"/>
      <c r="K939" s="23" t="s">
        <v>3</v>
      </c>
      <c r="L939" s="13">
        <f>SUM(L937:L938)</f>
        <v>1.98</v>
      </c>
    </row>
    <row r="940" spans="2:12" ht="14.4" x14ac:dyDescent="0.3">
      <c r="B940" s="20" t="s">
        <v>702</v>
      </c>
      <c r="C940" s="381"/>
      <c r="D940" s="382"/>
      <c r="E940" s="382"/>
      <c r="F940" s="382"/>
      <c r="G940" s="381"/>
      <c r="H940" s="383"/>
      <c r="I940" s="384"/>
      <c r="J940" s="383"/>
      <c r="K940" s="383"/>
      <c r="L940" s="7"/>
    </row>
    <row r="941" spans="2:12" ht="14.4" x14ac:dyDescent="0.25">
      <c r="B941" s="217" t="s">
        <v>547</v>
      </c>
      <c r="C941" s="398"/>
      <c r="D941" s="483">
        <v>3.79</v>
      </c>
      <c r="E941" s="389"/>
      <c r="F941" s="389">
        <v>3.82</v>
      </c>
      <c r="G941" s="390">
        <v>2</v>
      </c>
      <c r="H941" s="389">
        <f t="shared" ref="H941:H944" si="102">D941*F941*G941-I941</f>
        <v>28.9556</v>
      </c>
      <c r="I941" s="481"/>
      <c r="J941" s="399"/>
      <c r="K941" s="399" t="s">
        <v>3</v>
      </c>
      <c r="L941" s="483">
        <f t="shared" ref="L941:L944" si="103">H941</f>
        <v>28.9556</v>
      </c>
    </row>
    <row r="942" spans="2:12" ht="14.4" x14ac:dyDescent="0.25">
      <c r="B942" s="217" t="s">
        <v>548</v>
      </c>
      <c r="C942" s="398"/>
      <c r="D942" s="483">
        <v>2.78</v>
      </c>
      <c r="E942" s="389"/>
      <c r="F942" s="389">
        <v>3.82</v>
      </c>
      <c r="G942" s="390">
        <v>2</v>
      </c>
      <c r="H942" s="389">
        <f t="shared" si="102"/>
        <v>21.239199999999997</v>
      </c>
      <c r="I942" s="481"/>
      <c r="J942" s="399"/>
      <c r="K942" s="399" t="s">
        <v>3</v>
      </c>
      <c r="L942" s="483">
        <f t="shared" si="103"/>
        <v>21.239199999999997</v>
      </c>
    </row>
    <row r="943" spans="2:12" ht="14.4" x14ac:dyDescent="0.25">
      <c r="B943" s="217" t="s">
        <v>553</v>
      </c>
      <c r="C943" s="398"/>
      <c r="D943" s="483">
        <v>2.89</v>
      </c>
      <c r="E943" s="389"/>
      <c r="F943" s="389">
        <v>4.5</v>
      </c>
      <c r="G943" s="390">
        <v>1</v>
      </c>
      <c r="H943" s="389">
        <f t="shared" si="102"/>
        <v>13.005000000000001</v>
      </c>
      <c r="I943" s="481"/>
      <c r="J943" s="399"/>
      <c r="K943" s="399" t="s">
        <v>3</v>
      </c>
      <c r="L943" s="483">
        <f t="shared" si="103"/>
        <v>13.005000000000001</v>
      </c>
    </row>
    <row r="944" spans="2:12" ht="14.4" x14ac:dyDescent="0.25">
      <c r="B944" s="217" t="s">
        <v>559</v>
      </c>
      <c r="C944" s="398"/>
      <c r="D944" s="483">
        <v>2.75</v>
      </c>
      <c r="E944" s="389"/>
      <c r="F944" s="389">
        <v>3.82</v>
      </c>
      <c r="G944" s="390">
        <v>2</v>
      </c>
      <c r="H944" s="389">
        <f t="shared" si="102"/>
        <v>21.009999999999998</v>
      </c>
      <c r="I944" s="481"/>
      <c r="J944" s="399"/>
      <c r="K944" s="399" t="s">
        <v>3</v>
      </c>
      <c r="L944" s="483">
        <f t="shared" si="103"/>
        <v>21.009999999999998</v>
      </c>
    </row>
    <row r="945" spans="2:12" ht="14.4" x14ac:dyDescent="0.25">
      <c r="B945" s="21" t="s">
        <v>684</v>
      </c>
      <c r="C945" s="12"/>
      <c r="D945" s="35">
        <f>SUM(D941:D944)</f>
        <v>12.21</v>
      </c>
      <c r="E945" s="459"/>
      <c r="F945" s="10"/>
      <c r="G945" s="22"/>
      <c r="H945" s="19"/>
      <c r="I945" s="19"/>
      <c r="J945" s="19"/>
      <c r="K945" s="23" t="s">
        <v>3</v>
      </c>
      <c r="L945" s="13">
        <f>SUM(L941:L944)</f>
        <v>84.209800000000001</v>
      </c>
    </row>
    <row r="946" spans="2:12" ht="14.4" x14ac:dyDescent="0.3">
      <c r="B946" s="24" t="s">
        <v>697</v>
      </c>
      <c r="C946" s="114"/>
      <c r="D946" s="115"/>
      <c r="E946" s="115"/>
      <c r="F946" s="115"/>
      <c r="G946" s="114"/>
      <c r="H946" s="116"/>
      <c r="I946" s="117"/>
      <c r="J946" s="116"/>
      <c r="K946" s="116"/>
      <c r="L946" s="118"/>
    </row>
    <row r="947" spans="2:12" ht="14.4" x14ac:dyDescent="0.25">
      <c r="B947" s="217" t="s">
        <v>535</v>
      </c>
      <c r="C947" s="398"/>
      <c r="D947" s="483">
        <v>2.7</v>
      </c>
      <c r="E947" s="389"/>
      <c r="F947" s="389">
        <v>3.94</v>
      </c>
      <c r="G947" s="390">
        <v>4</v>
      </c>
      <c r="H947" s="389">
        <f t="shared" ref="H947:H956" si="104">D947*F947*G947-I947</f>
        <v>42.552</v>
      </c>
      <c r="I947" s="481"/>
      <c r="J947" s="399"/>
      <c r="K947" s="399" t="s">
        <v>3</v>
      </c>
      <c r="L947" s="483">
        <f t="shared" ref="L947:L956" si="105">H947</f>
        <v>42.552</v>
      </c>
    </row>
    <row r="948" spans="2:12" ht="14.4" x14ac:dyDescent="0.25">
      <c r="B948" s="217" t="s">
        <v>549</v>
      </c>
      <c r="C948" s="398"/>
      <c r="D948" s="483">
        <v>2.5299999999999998</v>
      </c>
      <c r="E948" s="389"/>
      <c r="F948" s="389">
        <v>4.5</v>
      </c>
      <c r="G948" s="390">
        <v>1</v>
      </c>
      <c r="H948" s="389">
        <f t="shared" si="104"/>
        <v>11.385</v>
      </c>
      <c r="I948" s="481"/>
      <c r="J948" s="399"/>
      <c r="K948" s="399" t="s">
        <v>3</v>
      </c>
      <c r="L948" s="483">
        <f t="shared" si="105"/>
        <v>11.385</v>
      </c>
    </row>
    <row r="949" spans="2:12" ht="14.4" x14ac:dyDescent="0.25">
      <c r="B949" s="217" t="s">
        <v>550</v>
      </c>
      <c r="C949" s="398"/>
      <c r="D949" s="389">
        <v>2.95</v>
      </c>
      <c r="E949" s="389"/>
      <c r="F949" s="389">
        <v>4.5</v>
      </c>
      <c r="G949" s="390">
        <v>1</v>
      </c>
      <c r="H949" s="389">
        <f t="shared" si="104"/>
        <v>13.275</v>
      </c>
      <c r="I949" s="481"/>
      <c r="J949" s="399"/>
      <c r="K949" s="399" t="s">
        <v>3</v>
      </c>
      <c r="L949" s="483">
        <f t="shared" si="105"/>
        <v>13.275</v>
      </c>
    </row>
    <row r="950" spans="2:12" ht="14.4" x14ac:dyDescent="0.25">
      <c r="B950" s="217" t="s">
        <v>551</v>
      </c>
      <c r="C950" s="398"/>
      <c r="D950" s="389">
        <v>1.89</v>
      </c>
      <c r="E950" s="389"/>
      <c r="F950" s="389">
        <v>4.5</v>
      </c>
      <c r="G950" s="390">
        <v>1</v>
      </c>
      <c r="H950" s="389">
        <f t="shared" si="104"/>
        <v>8.504999999999999</v>
      </c>
      <c r="I950" s="481"/>
      <c r="J950" s="399"/>
      <c r="K950" s="399" t="s">
        <v>3</v>
      </c>
      <c r="L950" s="483">
        <f t="shared" si="105"/>
        <v>8.504999999999999</v>
      </c>
    </row>
    <row r="951" spans="2:12" ht="14.4" x14ac:dyDescent="0.25">
      <c r="B951" s="217" t="s">
        <v>552</v>
      </c>
      <c r="C951" s="398"/>
      <c r="D951" s="389">
        <v>2.2799999999999998</v>
      </c>
      <c r="E951" s="389"/>
      <c r="F951" s="389">
        <v>4.5</v>
      </c>
      <c r="G951" s="390">
        <v>1</v>
      </c>
      <c r="H951" s="389">
        <f t="shared" si="104"/>
        <v>10.26</v>
      </c>
      <c r="I951" s="481"/>
      <c r="J951" s="399"/>
      <c r="K951" s="399" t="s">
        <v>3</v>
      </c>
      <c r="L951" s="483">
        <f t="shared" si="105"/>
        <v>10.26</v>
      </c>
    </row>
    <row r="952" spans="2:12" ht="14.4" x14ac:dyDescent="0.25">
      <c r="B952" s="217" t="s">
        <v>554</v>
      </c>
      <c r="C952" s="398"/>
      <c r="D952" s="389">
        <v>8.1300000000000008</v>
      </c>
      <c r="E952" s="389"/>
      <c r="F952" s="389">
        <v>3.9</v>
      </c>
      <c r="G952" s="390">
        <v>1</v>
      </c>
      <c r="H952" s="389">
        <f t="shared" si="104"/>
        <v>31.707000000000001</v>
      </c>
      <c r="I952" s="481"/>
      <c r="J952" s="399"/>
      <c r="K952" s="399" t="s">
        <v>3</v>
      </c>
      <c r="L952" s="483">
        <f t="shared" si="105"/>
        <v>31.707000000000001</v>
      </c>
    </row>
    <row r="953" spans="2:12" ht="14.4" x14ac:dyDescent="0.25">
      <c r="B953" s="217" t="s">
        <v>555</v>
      </c>
      <c r="C953" s="398"/>
      <c r="D953" s="389">
        <v>5.3</v>
      </c>
      <c r="E953" s="389"/>
      <c r="F953" s="389">
        <v>3.9</v>
      </c>
      <c r="G953" s="390">
        <v>1</v>
      </c>
      <c r="H953" s="389">
        <f t="shared" si="104"/>
        <v>20.669999999999998</v>
      </c>
      <c r="I953" s="481"/>
      <c r="J953" s="399"/>
      <c r="K953" s="399" t="s">
        <v>3</v>
      </c>
      <c r="L953" s="483">
        <f t="shared" si="105"/>
        <v>20.669999999999998</v>
      </c>
    </row>
    <row r="954" spans="2:12" ht="14.4" x14ac:dyDescent="0.25">
      <c r="B954" s="217" t="s">
        <v>556</v>
      </c>
      <c r="C954" s="398"/>
      <c r="D954" s="389">
        <v>2.74</v>
      </c>
      <c r="E954" s="389"/>
      <c r="F954" s="389">
        <v>3.9</v>
      </c>
      <c r="G954" s="390">
        <v>1</v>
      </c>
      <c r="H954" s="389">
        <f t="shared" si="104"/>
        <v>10.686</v>
      </c>
      <c r="I954" s="481"/>
      <c r="J954" s="399"/>
      <c r="K954" s="399" t="s">
        <v>3</v>
      </c>
      <c r="L954" s="483">
        <f t="shared" si="105"/>
        <v>10.686</v>
      </c>
    </row>
    <row r="955" spans="2:12" ht="14.4" x14ac:dyDescent="0.25">
      <c r="B955" s="217" t="s">
        <v>557</v>
      </c>
      <c r="C955" s="398"/>
      <c r="D955" s="389">
        <v>4.7300000000000004</v>
      </c>
      <c r="E955" s="389"/>
      <c r="F955" s="389">
        <v>3.82</v>
      </c>
      <c r="G955" s="390">
        <v>1</v>
      </c>
      <c r="H955" s="389">
        <f t="shared" si="104"/>
        <v>18.0686</v>
      </c>
      <c r="I955" s="481"/>
      <c r="J955" s="399"/>
      <c r="K955" s="399" t="s">
        <v>3</v>
      </c>
      <c r="L955" s="483">
        <f t="shared" si="105"/>
        <v>18.0686</v>
      </c>
    </row>
    <row r="956" spans="2:12" ht="14.4" x14ac:dyDescent="0.25">
      <c r="B956" s="217" t="s">
        <v>558</v>
      </c>
      <c r="C956" s="398"/>
      <c r="D956" s="389">
        <v>1.96</v>
      </c>
      <c r="E956" s="389"/>
      <c r="F956" s="389">
        <v>3.82</v>
      </c>
      <c r="G956" s="390">
        <v>1</v>
      </c>
      <c r="H956" s="389">
        <f t="shared" si="104"/>
        <v>7.4871999999999996</v>
      </c>
      <c r="I956" s="481"/>
      <c r="J956" s="399"/>
      <c r="K956" s="399" t="s">
        <v>3</v>
      </c>
      <c r="L956" s="483">
        <f t="shared" si="105"/>
        <v>7.4871999999999996</v>
      </c>
    </row>
    <row r="957" spans="2:12" ht="14.4" x14ac:dyDescent="0.25">
      <c r="B957" s="21" t="s">
        <v>564</v>
      </c>
      <c r="C957" s="12"/>
      <c r="D957" s="35">
        <f>SUM(D947:D956)</f>
        <v>35.21</v>
      </c>
      <c r="E957" s="459"/>
      <c r="F957" s="10"/>
      <c r="G957" s="22"/>
      <c r="H957" s="19"/>
      <c r="I957" s="19"/>
      <c r="J957" s="19"/>
      <c r="K957" s="23" t="s">
        <v>3</v>
      </c>
      <c r="L957" s="13">
        <f>SUM(L947:L956)</f>
        <v>174.5958</v>
      </c>
    </row>
    <row r="958" spans="2:12" ht="15.6" x14ac:dyDescent="0.25">
      <c r="B958" s="545" t="s">
        <v>645</v>
      </c>
      <c r="C958" s="546"/>
      <c r="D958" s="547"/>
      <c r="E958" s="547"/>
      <c r="F958" s="547"/>
      <c r="G958" s="546"/>
      <c r="H958" s="548"/>
      <c r="I958" s="549"/>
      <c r="J958" s="548"/>
      <c r="K958" s="548"/>
      <c r="L958" s="550"/>
    </row>
    <row r="959" spans="2:12" ht="15.6" x14ac:dyDescent="0.25">
      <c r="B959" s="59" t="s">
        <v>63</v>
      </c>
      <c r="C959" s="119"/>
      <c r="D959" s="120"/>
      <c r="E959" s="119"/>
      <c r="F959" s="121"/>
      <c r="G959" s="122"/>
      <c r="H959" s="123"/>
      <c r="I959" s="123"/>
      <c r="J959" s="123"/>
      <c r="K959" s="124"/>
      <c r="L959" s="125"/>
    </row>
    <row r="960" spans="2:12" ht="14.4" x14ac:dyDescent="0.25">
      <c r="B960" s="822" t="s">
        <v>1</v>
      </c>
      <c r="C960" s="55" t="s">
        <v>0</v>
      </c>
      <c r="D960" s="52" t="s">
        <v>12</v>
      </c>
      <c r="E960" s="52" t="s">
        <v>4</v>
      </c>
      <c r="F960" s="52" t="s">
        <v>2</v>
      </c>
      <c r="G960" s="52" t="s">
        <v>6</v>
      </c>
      <c r="H960" s="148" t="s">
        <v>5</v>
      </c>
      <c r="I960" s="56" t="s">
        <v>13</v>
      </c>
      <c r="J960" s="148" t="s">
        <v>14</v>
      </c>
      <c r="K960" s="822" t="s">
        <v>7</v>
      </c>
      <c r="L960" s="824" t="s">
        <v>8</v>
      </c>
    </row>
    <row r="961" spans="2:12" ht="14.4" x14ac:dyDescent="0.3">
      <c r="B961" s="823"/>
      <c r="C961" s="80" t="s">
        <v>9</v>
      </c>
      <c r="D961" s="81" t="s">
        <v>10</v>
      </c>
      <c r="E961" s="81" t="s">
        <v>10</v>
      </c>
      <c r="F961" s="81" t="s">
        <v>10</v>
      </c>
      <c r="G961" s="80" t="s">
        <v>9</v>
      </c>
      <c r="H961" s="82" t="s">
        <v>11</v>
      </c>
      <c r="I961" s="113" t="s">
        <v>11</v>
      </c>
      <c r="J961" s="82" t="s">
        <v>15</v>
      </c>
      <c r="K961" s="823"/>
      <c r="L961" s="825"/>
    </row>
    <row r="962" spans="2:12" ht="14.4" x14ac:dyDescent="0.3">
      <c r="B962" s="20" t="s">
        <v>698</v>
      </c>
      <c r="C962" s="381"/>
      <c r="D962" s="382"/>
      <c r="E962" s="382"/>
      <c r="F962" s="382"/>
      <c r="G962" s="381"/>
      <c r="H962" s="383"/>
      <c r="I962" s="384"/>
      <c r="J962" s="383"/>
      <c r="K962" s="383"/>
      <c r="L962" s="7"/>
    </row>
    <row r="963" spans="2:12" ht="14.4" x14ac:dyDescent="0.25">
      <c r="B963" s="217" t="s">
        <v>483</v>
      </c>
      <c r="C963" s="398"/>
      <c r="D963" s="483">
        <v>2.6</v>
      </c>
      <c r="E963" s="389"/>
      <c r="F963" s="389">
        <v>3.82</v>
      </c>
      <c r="G963" s="390">
        <v>1</v>
      </c>
      <c r="H963" s="389">
        <f t="shared" ref="H963:H965" si="106">D963*F963*G963-I963</f>
        <v>9.9320000000000004</v>
      </c>
      <c r="I963" s="481"/>
      <c r="J963" s="399"/>
      <c r="K963" s="399" t="s">
        <v>3</v>
      </c>
      <c r="L963" s="483">
        <f t="shared" ref="L963:L965" si="107">H963</f>
        <v>9.9320000000000004</v>
      </c>
    </row>
    <row r="964" spans="2:12" ht="14.4" x14ac:dyDescent="0.25">
      <c r="B964" s="217" t="s">
        <v>484</v>
      </c>
      <c r="C964" s="398"/>
      <c r="D964" s="483">
        <v>0.24</v>
      </c>
      <c r="E964" s="389"/>
      <c r="F964" s="389">
        <v>3.82</v>
      </c>
      <c r="G964" s="390">
        <v>2</v>
      </c>
      <c r="H964" s="389">
        <f t="shared" si="106"/>
        <v>1.8335999999999999</v>
      </c>
      <c r="I964" s="481"/>
      <c r="J964" s="399"/>
      <c r="K964" s="399" t="s">
        <v>3</v>
      </c>
      <c r="L964" s="483">
        <f t="shared" si="107"/>
        <v>1.8335999999999999</v>
      </c>
    </row>
    <row r="965" spans="2:12" ht="14.4" x14ac:dyDescent="0.25">
      <c r="B965" s="217" t="s">
        <v>485</v>
      </c>
      <c r="C965" s="398"/>
      <c r="D965" s="483">
        <v>7.6</v>
      </c>
      <c r="E965" s="389"/>
      <c r="F965" s="389">
        <v>3.82</v>
      </c>
      <c r="G965" s="390">
        <v>1</v>
      </c>
      <c r="H965" s="389">
        <f t="shared" si="106"/>
        <v>29.031999999999996</v>
      </c>
      <c r="I965" s="481"/>
      <c r="J965" s="399"/>
      <c r="K965" s="399" t="s">
        <v>3</v>
      </c>
      <c r="L965" s="483">
        <f t="shared" si="107"/>
        <v>29.031999999999996</v>
      </c>
    </row>
    <row r="966" spans="2:12" ht="14.4" x14ac:dyDescent="0.25">
      <c r="B966" s="217" t="s">
        <v>486</v>
      </c>
      <c r="C966" s="398"/>
      <c r="D966" s="483">
        <v>0.45</v>
      </c>
      <c r="E966" s="389"/>
      <c r="F966" s="389">
        <v>3.82</v>
      </c>
      <c r="G966" s="390">
        <v>2</v>
      </c>
      <c r="H966" s="389">
        <f t="shared" ref="H966" si="108">D966*F966*G966-I966</f>
        <v>3.4379999999999997</v>
      </c>
      <c r="I966" s="481"/>
      <c r="J966" s="399"/>
      <c r="K966" s="399" t="s">
        <v>3</v>
      </c>
      <c r="L966" s="483">
        <f t="shared" ref="L966" si="109">H966</f>
        <v>3.4379999999999997</v>
      </c>
    </row>
    <row r="967" spans="2:12" ht="14.4" x14ac:dyDescent="0.25">
      <c r="B967" s="21" t="s">
        <v>563</v>
      </c>
      <c r="C967" s="12"/>
      <c r="D967" s="35">
        <f>SUM(D963:D966)</f>
        <v>10.889999999999999</v>
      </c>
      <c r="E967" s="459"/>
      <c r="F967" s="10"/>
      <c r="G967" s="22"/>
      <c r="H967" s="19"/>
      <c r="I967" s="19"/>
      <c r="J967" s="19"/>
      <c r="K967" s="23" t="s">
        <v>3</v>
      </c>
      <c r="L967" s="13">
        <f>SUM(L963:L966)</f>
        <v>44.235599999999998</v>
      </c>
    </row>
    <row r="968" spans="2:12" ht="14.4" x14ac:dyDescent="0.3">
      <c r="B968" s="148"/>
      <c r="C968" s="47"/>
      <c r="D968" s="48"/>
      <c r="E968" s="48"/>
      <c r="F968" s="48"/>
      <c r="G968" s="47"/>
      <c r="H968" s="49"/>
      <c r="I968" s="511"/>
      <c r="J968" s="49"/>
      <c r="K968" s="148"/>
      <c r="L968" s="591"/>
    </row>
    <row r="969" spans="2:12" ht="14.4" x14ac:dyDescent="0.3">
      <c r="B969" s="20" t="s">
        <v>702</v>
      </c>
      <c r="C969" s="381"/>
      <c r="D969" s="382"/>
      <c r="E969" s="382"/>
      <c r="F969" s="382"/>
      <c r="G969" s="381"/>
      <c r="H969" s="383"/>
      <c r="I969" s="384"/>
      <c r="J969" s="383"/>
      <c r="K969" s="383"/>
      <c r="L969" s="7"/>
    </row>
    <row r="970" spans="2:12" ht="14.4" x14ac:dyDescent="0.25">
      <c r="B970" s="217" t="s">
        <v>478</v>
      </c>
      <c r="C970" s="398"/>
      <c r="D970" s="483">
        <v>1.05</v>
      </c>
      <c r="E970" s="389"/>
      <c r="F970" s="389">
        <v>3.82</v>
      </c>
      <c r="G970" s="390">
        <v>2</v>
      </c>
      <c r="H970" s="389">
        <f t="shared" ref="H970:H972" si="110">D970*F970*G970-I970</f>
        <v>8.0220000000000002</v>
      </c>
      <c r="I970" s="481"/>
      <c r="J970" s="399"/>
      <c r="K970" s="399" t="s">
        <v>3</v>
      </c>
      <c r="L970" s="483">
        <f t="shared" ref="L970:L972" si="111">H970</f>
        <v>8.0220000000000002</v>
      </c>
    </row>
    <row r="971" spans="2:12" ht="14.4" x14ac:dyDescent="0.25">
      <c r="B971" s="217" t="s">
        <v>479</v>
      </c>
      <c r="C971" s="398"/>
      <c r="D971" s="483">
        <v>2.78</v>
      </c>
      <c r="E971" s="389"/>
      <c r="F971" s="389">
        <v>3.82</v>
      </c>
      <c r="G971" s="390">
        <v>2</v>
      </c>
      <c r="H971" s="389">
        <f t="shared" si="110"/>
        <v>21.239199999999997</v>
      </c>
      <c r="I971" s="481"/>
      <c r="J971" s="399"/>
      <c r="K971" s="399" t="s">
        <v>3</v>
      </c>
      <c r="L971" s="483">
        <f t="shared" si="111"/>
        <v>21.239199999999997</v>
      </c>
    </row>
    <row r="972" spans="2:12" ht="14.4" x14ac:dyDescent="0.25">
      <c r="B972" s="217" t="s">
        <v>481</v>
      </c>
      <c r="C972" s="398"/>
      <c r="D972" s="483">
        <v>2.77</v>
      </c>
      <c r="E972" s="389"/>
      <c r="F972" s="389">
        <v>3.82</v>
      </c>
      <c r="G972" s="390">
        <v>1</v>
      </c>
      <c r="H972" s="389">
        <f t="shared" si="110"/>
        <v>10.5814</v>
      </c>
      <c r="I972" s="481"/>
      <c r="J972" s="399"/>
      <c r="K972" s="399" t="s">
        <v>3</v>
      </c>
      <c r="L972" s="483">
        <f t="shared" si="111"/>
        <v>10.5814</v>
      </c>
    </row>
    <row r="973" spans="2:12" ht="14.4" x14ac:dyDescent="0.25">
      <c r="B973" s="21" t="s">
        <v>684</v>
      </c>
      <c r="C973" s="12"/>
      <c r="D973" s="35">
        <f>SUM(D970:D972)</f>
        <v>6.6</v>
      </c>
      <c r="E973" s="459"/>
      <c r="F973" s="10"/>
      <c r="G973" s="22"/>
      <c r="H973" s="19"/>
      <c r="I973" s="19"/>
      <c r="J973" s="19"/>
      <c r="K973" s="23" t="s">
        <v>3</v>
      </c>
      <c r="L973" s="13">
        <f>SUM(L970:L972)</f>
        <v>39.842599999999997</v>
      </c>
    </row>
    <row r="974" spans="2:12" ht="14.4" x14ac:dyDescent="0.3">
      <c r="B974" s="20" t="s">
        <v>687</v>
      </c>
      <c r="C974" s="381"/>
      <c r="D974" s="382"/>
      <c r="E974" s="382"/>
      <c r="F974" s="382"/>
      <c r="G974" s="381"/>
      <c r="H974" s="383"/>
      <c r="I974" s="384"/>
      <c r="J974" s="383"/>
      <c r="K974" s="383"/>
      <c r="L974" s="7"/>
    </row>
    <row r="975" spans="2:12" ht="14.4" x14ac:dyDescent="0.25">
      <c r="B975" s="217" t="s">
        <v>53</v>
      </c>
      <c r="C975" s="398"/>
      <c r="D975" s="483">
        <v>39.58</v>
      </c>
      <c r="E975" s="389"/>
      <c r="F975" s="389">
        <v>3.36</v>
      </c>
      <c r="G975" s="390">
        <v>1</v>
      </c>
      <c r="H975" s="389">
        <f t="shared" ref="H975:H981" si="112">D975*F975*G975-I975</f>
        <v>132.9888</v>
      </c>
      <c r="I975" s="481"/>
      <c r="J975" s="399"/>
      <c r="K975" s="399" t="s">
        <v>3</v>
      </c>
      <c r="L975" s="483">
        <f t="shared" ref="L975:L981" si="113">H975</f>
        <v>132.9888</v>
      </c>
    </row>
    <row r="976" spans="2:12" ht="14.4" x14ac:dyDescent="0.25">
      <c r="B976" s="217" t="s">
        <v>475</v>
      </c>
      <c r="C976" s="398"/>
      <c r="D976" s="483">
        <v>21.05</v>
      </c>
      <c r="E976" s="389"/>
      <c r="F976" s="389">
        <v>3.36</v>
      </c>
      <c r="G976" s="390">
        <v>1</v>
      </c>
      <c r="H976" s="389">
        <f t="shared" si="112"/>
        <v>70.727999999999994</v>
      </c>
      <c r="I976" s="481"/>
      <c r="J976" s="399"/>
      <c r="K976" s="399" t="s">
        <v>3</v>
      </c>
      <c r="L976" s="483">
        <f t="shared" si="113"/>
        <v>70.727999999999994</v>
      </c>
    </row>
    <row r="977" spans="2:12" ht="14.4" x14ac:dyDescent="0.25">
      <c r="B977" s="217" t="s">
        <v>476</v>
      </c>
      <c r="C977" s="398"/>
      <c r="D977" s="483">
        <v>43.6</v>
      </c>
      <c r="E977" s="389"/>
      <c r="F977" s="389">
        <v>3.36</v>
      </c>
      <c r="G977" s="390">
        <v>1</v>
      </c>
      <c r="H977" s="389">
        <f t="shared" si="112"/>
        <v>146.49600000000001</v>
      </c>
      <c r="I977" s="481"/>
      <c r="J977" s="399"/>
      <c r="K977" s="399" t="s">
        <v>3</v>
      </c>
      <c r="L977" s="483">
        <f t="shared" si="113"/>
        <v>146.49600000000001</v>
      </c>
    </row>
    <row r="978" spans="2:12" ht="14.4" x14ac:dyDescent="0.25">
      <c r="B978" s="217" t="s">
        <v>477</v>
      </c>
      <c r="C978" s="398"/>
      <c r="D978" s="483">
        <v>13.23</v>
      </c>
      <c r="E978" s="389"/>
      <c r="F978" s="389">
        <v>3.36</v>
      </c>
      <c r="G978" s="390">
        <v>1</v>
      </c>
      <c r="H978" s="389">
        <f t="shared" si="112"/>
        <v>44.452799999999996</v>
      </c>
      <c r="I978" s="481"/>
      <c r="J978" s="399"/>
      <c r="K978" s="399" t="s">
        <v>3</v>
      </c>
      <c r="L978" s="483">
        <f t="shared" si="113"/>
        <v>44.452799999999996</v>
      </c>
    </row>
    <row r="979" spans="2:12" ht="14.4" x14ac:dyDescent="0.25">
      <c r="B979" s="217" t="s">
        <v>480</v>
      </c>
      <c r="C979" s="398"/>
      <c r="D979" s="483">
        <v>2.98</v>
      </c>
      <c r="E979" s="389"/>
      <c r="F979" s="389">
        <v>3.36</v>
      </c>
      <c r="G979" s="390">
        <v>1</v>
      </c>
      <c r="H979" s="389">
        <f t="shared" si="112"/>
        <v>10.0128</v>
      </c>
      <c r="I979" s="481"/>
      <c r="J979" s="399"/>
      <c r="K979" s="399" t="s">
        <v>3</v>
      </c>
      <c r="L979" s="483">
        <f t="shared" si="113"/>
        <v>10.0128</v>
      </c>
    </row>
    <row r="980" spans="2:12" ht="14.4" x14ac:dyDescent="0.25">
      <c r="B980" s="217" t="s">
        <v>482</v>
      </c>
      <c r="C980" s="398"/>
      <c r="D980" s="483">
        <v>2.99</v>
      </c>
      <c r="E980" s="389"/>
      <c r="F980" s="389">
        <v>3.36</v>
      </c>
      <c r="G980" s="390">
        <v>1</v>
      </c>
      <c r="H980" s="389">
        <f t="shared" si="112"/>
        <v>10.0464</v>
      </c>
      <c r="I980" s="481"/>
      <c r="J980" s="399"/>
      <c r="K980" s="399" t="s">
        <v>3</v>
      </c>
      <c r="L980" s="483">
        <f t="shared" si="113"/>
        <v>10.0464</v>
      </c>
    </row>
    <row r="981" spans="2:12" ht="14.4" x14ac:dyDescent="0.25">
      <c r="B981" s="217" t="s">
        <v>487</v>
      </c>
      <c r="C981" s="398"/>
      <c r="D981" s="483">
        <v>4.6500000000000004</v>
      </c>
      <c r="E981" s="389"/>
      <c r="F981" s="389">
        <v>3.36</v>
      </c>
      <c r="G981" s="390">
        <v>1</v>
      </c>
      <c r="H981" s="389">
        <f t="shared" si="112"/>
        <v>15.624000000000001</v>
      </c>
      <c r="I981" s="481"/>
      <c r="J981" s="399"/>
      <c r="K981" s="399" t="s">
        <v>3</v>
      </c>
      <c r="L981" s="483">
        <f t="shared" si="113"/>
        <v>15.624000000000001</v>
      </c>
    </row>
    <row r="982" spans="2:12" ht="14.4" x14ac:dyDescent="0.25">
      <c r="B982" s="21" t="s">
        <v>564</v>
      </c>
      <c r="C982" s="12"/>
      <c r="D982" s="35">
        <f>SUM(D975:D981)</f>
        <v>128.07999999999998</v>
      </c>
      <c r="E982" s="459"/>
      <c r="F982" s="10"/>
      <c r="G982" s="22"/>
      <c r="H982" s="19"/>
      <c r="I982" s="19"/>
      <c r="J982" s="19"/>
      <c r="K982" s="23" t="s">
        <v>3</v>
      </c>
      <c r="L982" s="13">
        <f>SUM(L975:L981)</f>
        <v>430.3488000000001</v>
      </c>
    </row>
    <row r="983" spans="2:12" ht="15.6" x14ac:dyDescent="0.25">
      <c r="B983" s="539" t="s">
        <v>644</v>
      </c>
      <c r="C983" s="540"/>
      <c r="D983" s="541"/>
      <c r="E983" s="541"/>
      <c r="F983" s="541"/>
      <c r="G983" s="540"/>
      <c r="H983" s="542"/>
      <c r="I983" s="543"/>
      <c r="J983" s="542"/>
      <c r="K983" s="542"/>
      <c r="L983" s="544"/>
    </row>
    <row r="984" spans="2:12" ht="15.6" x14ac:dyDescent="0.25">
      <c r="B984" s="59" t="s">
        <v>615</v>
      </c>
      <c r="C984" s="119"/>
      <c r="D984" s="120"/>
      <c r="E984" s="119"/>
      <c r="F984" s="121"/>
      <c r="G984" s="122"/>
      <c r="H984" s="123"/>
      <c r="I984" s="123"/>
      <c r="J984" s="123"/>
      <c r="K984" s="124"/>
      <c r="L984" s="125"/>
    </row>
    <row r="985" spans="2:12" ht="14.4" x14ac:dyDescent="0.25">
      <c r="B985" s="822" t="s">
        <v>1</v>
      </c>
      <c r="C985" s="55" t="s">
        <v>0</v>
      </c>
      <c r="D985" s="52" t="s">
        <v>12</v>
      </c>
      <c r="E985" s="52" t="s">
        <v>4</v>
      </c>
      <c r="F985" s="52" t="s">
        <v>2</v>
      </c>
      <c r="G985" s="52" t="s">
        <v>6</v>
      </c>
      <c r="H985" s="148" t="s">
        <v>5</v>
      </c>
      <c r="I985" s="56" t="s">
        <v>13</v>
      </c>
      <c r="J985" s="148" t="s">
        <v>14</v>
      </c>
      <c r="K985" s="822" t="s">
        <v>7</v>
      </c>
      <c r="L985" s="824" t="s">
        <v>8</v>
      </c>
    </row>
    <row r="986" spans="2:12" ht="14.4" x14ac:dyDescent="0.3">
      <c r="B986" s="823"/>
      <c r="C986" s="80" t="s">
        <v>9</v>
      </c>
      <c r="D986" s="81" t="s">
        <v>10</v>
      </c>
      <c r="E986" s="81" t="s">
        <v>10</v>
      </c>
      <c r="F986" s="81" t="s">
        <v>10</v>
      </c>
      <c r="G986" s="80" t="s">
        <v>9</v>
      </c>
      <c r="H986" s="82" t="s">
        <v>11</v>
      </c>
      <c r="I986" s="113" t="s">
        <v>11</v>
      </c>
      <c r="J986" s="82" t="s">
        <v>15</v>
      </c>
      <c r="K986" s="823"/>
      <c r="L986" s="825"/>
    </row>
    <row r="987" spans="2:12" ht="14.4" x14ac:dyDescent="0.3">
      <c r="B987" s="20" t="s">
        <v>696</v>
      </c>
      <c r="C987" s="381"/>
      <c r="D987" s="382"/>
      <c r="E987" s="382"/>
      <c r="F987" s="382"/>
      <c r="G987" s="381"/>
      <c r="H987" s="383"/>
      <c r="I987" s="384"/>
      <c r="J987" s="383"/>
      <c r="K987" s="383"/>
      <c r="L987" s="7"/>
    </row>
    <row r="988" spans="2:12" ht="14.4" x14ac:dyDescent="0.25">
      <c r="B988" s="217" t="s">
        <v>53</v>
      </c>
      <c r="C988" s="398"/>
      <c r="D988" s="389">
        <v>0.4</v>
      </c>
      <c r="E988" s="389"/>
      <c r="F988" s="389">
        <v>3.74</v>
      </c>
      <c r="G988" s="390">
        <v>1</v>
      </c>
      <c r="H988" s="389">
        <f t="shared" ref="H988:H1003" si="114">D988*F988*G988-I988</f>
        <v>1.4960000000000002</v>
      </c>
      <c r="I988" s="483"/>
      <c r="J988" s="399"/>
      <c r="K988" s="399" t="s">
        <v>3</v>
      </c>
      <c r="L988" s="389">
        <f>H988</f>
        <v>1.4960000000000002</v>
      </c>
    </row>
    <row r="989" spans="2:12" ht="14.4" x14ac:dyDescent="0.3">
      <c r="B989" s="217" t="s">
        <v>475</v>
      </c>
      <c r="C989" s="385"/>
      <c r="D989" s="386">
        <v>1.48</v>
      </c>
      <c r="E989" s="386"/>
      <c r="F989" s="386">
        <v>3.74</v>
      </c>
      <c r="G989" s="390">
        <v>1</v>
      </c>
      <c r="H989" s="389">
        <f t="shared" si="114"/>
        <v>1.6852000000000005</v>
      </c>
      <c r="I989" s="386">
        <v>3.85</v>
      </c>
      <c r="J989" s="387"/>
      <c r="K989" s="387" t="s">
        <v>3</v>
      </c>
      <c r="L989" s="389">
        <f t="shared" ref="L989" si="115">H989</f>
        <v>1.6852000000000005</v>
      </c>
    </row>
    <row r="990" spans="2:12" ht="14.4" x14ac:dyDescent="0.25">
      <c r="B990" s="217" t="s">
        <v>476</v>
      </c>
      <c r="C990" s="398"/>
      <c r="D990" s="389">
        <v>1.48</v>
      </c>
      <c r="E990" s="389"/>
      <c r="F990" s="389">
        <v>3.74</v>
      </c>
      <c r="G990" s="390">
        <v>1</v>
      </c>
      <c r="H990" s="389">
        <f t="shared" si="114"/>
        <v>5.5352000000000006</v>
      </c>
      <c r="I990" s="483"/>
      <c r="J990" s="399"/>
      <c r="K990" s="399" t="s">
        <v>3</v>
      </c>
      <c r="L990" s="389">
        <f t="shared" ref="L990:L1003" si="116">H990</f>
        <v>5.5352000000000006</v>
      </c>
    </row>
    <row r="991" spans="2:12" ht="14.4" x14ac:dyDescent="0.25">
      <c r="B991" s="217" t="s">
        <v>477</v>
      </c>
      <c r="C991" s="398"/>
      <c r="D991" s="389">
        <v>2.85</v>
      </c>
      <c r="E991" s="389"/>
      <c r="F991" s="389">
        <v>3.74</v>
      </c>
      <c r="G991" s="390">
        <v>1</v>
      </c>
      <c r="H991" s="389">
        <f t="shared" si="114"/>
        <v>4.5490000000000004</v>
      </c>
      <c r="I991" s="483">
        <v>6.11</v>
      </c>
      <c r="J991" s="399"/>
      <c r="K991" s="399" t="s">
        <v>3</v>
      </c>
      <c r="L991" s="389">
        <f t="shared" si="116"/>
        <v>4.5490000000000004</v>
      </c>
    </row>
    <row r="992" spans="2:12" ht="14.4" x14ac:dyDescent="0.25">
      <c r="B992" s="217" t="s">
        <v>478</v>
      </c>
      <c r="C992" s="398"/>
      <c r="D992" s="389">
        <v>0.32</v>
      </c>
      <c r="E992" s="389"/>
      <c r="F992" s="389">
        <v>3.74</v>
      </c>
      <c r="G992" s="390">
        <v>1</v>
      </c>
      <c r="H992" s="389">
        <f t="shared" si="114"/>
        <v>1.1968000000000001</v>
      </c>
      <c r="I992" s="483"/>
      <c r="J992" s="399"/>
      <c r="K992" s="399" t="s">
        <v>3</v>
      </c>
      <c r="L992" s="389">
        <f t="shared" si="116"/>
        <v>1.1968000000000001</v>
      </c>
    </row>
    <row r="993" spans="2:12" ht="14.4" x14ac:dyDescent="0.25">
      <c r="B993" s="217" t="s">
        <v>479</v>
      </c>
      <c r="C993" s="398"/>
      <c r="D993" s="389">
        <v>3.4</v>
      </c>
      <c r="E993" s="389"/>
      <c r="F993" s="389">
        <v>3.74</v>
      </c>
      <c r="G993" s="390">
        <v>1</v>
      </c>
      <c r="H993" s="389">
        <f t="shared" si="114"/>
        <v>4.0360000000000014</v>
      </c>
      <c r="I993" s="483">
        <v>8.68</v>
      </c>
      <c r="J993" s="399"/>
      <c r="K993" s="399" t="s">
        <v>3</v>
      </c>
      <c r="L993" s="389">
        <f t="shared" si="116"/>
        <v>4.0360000000000014</v>
      </c>
    </row>
    <row r="994" spans="2:12" ht="14.4" x14ac:dyDescent="0.25">
      <c r="B994" s="217" t="s">
        <v>480</v>
      </c>
      <c r="C994" s="398"/>
      <c r="D994" s="389">
        <v>8.43</v>
      </c>
      <c r="E994" s="389"/>
      <c r="F994" s="389">
        <v>3.74</v>
      </c>
      <c r="G994" s="390">
        <v>1</v>
      </c>
      <c r="H994" s="389">
        <f t="shared" si="114"/>
        <v>31.528200000000002</v>
      </c>
      <c r="I994" s="483"/>
      <c r="J994" s="399"/>
      <c r="K994" s="399" t="s">
        <v>3</v>
      </c>
      <c r="L994" s="389">
        <f t="shared" si="116"/>
        <v>31.528200000000002</v>
      </c>
    </row>
    <row r="995" spans="2:12" ht="14.4" x14ac:dyDescent="0.25">
      <c r="B995" s="217" t="s">
        <v>481</v>
      </c>
      <c r="C995" s="398"/>
      <c r="D995" s="389">
        <v>3.57</v>
      </c>
      <c r="E995" s="389"/>
      <c r="F995" s="389">
        <v>3.74</v>
      </c>
      <c r="G995" s="390">
        <v>1</v>
      </c>
      <c r="H995" s="389">
        <f t="shared" si="114"/>
        <v>13.351800000000001</v>
      </c>
      <c r="I995" s="483"/>
      <c r="J995" s="399"/>
      <c r="K995" s="399" t="s">
        <v>3</v>
      </c>
      <c r="L995" s="389">
        <f t="shared" si="116"/>
        <v>13.351800000000001</v>
      </c>
    </row>
    <row r="996" spans="2:12" ht="14.4" x14ac:dyDescent="0.25">
      <c r="B996" s="217" t="s">
        <v>482</v>
      </c>
      <c r="C996" s="398"/>
      <c r="D996" s="389">
        <v>2.1</v>
      </c>
      <c r="E996" s="389"/>
      <c r="F996" s="389">
        <v>3.74</v>
      </c>
      <c r="G996" s="390">
        <v>1</v>
      </c>
      <c r="H996" s="389">
        <f t="shared" si="114"/>
        <v>7.854000000000001</v>
      </c>
      <c r="I996" s="483"/>
      <c r="J996" s="399"/>
      <c r="K996" s="399" t="s">
        <v>3</v>
      </c>
      <c r="L996" s="389">
        <f t="shared" si="116"/>
        <v>7.854000000000001</v>
      </c>
    </row>
    <row r="997" spans="2:12" ht="14.4" x14ac:dyDescent="0.25">
      <c r="B997" s="217" t="s">
        <v>485</v>
      </c>
      <c r="C997" s="398"/>
      <c r="D997" s="389">
        <v>2.27</v>
      </c>
      <c r="E997" s="389"/>
      <c r="F997" s="389">
        <v>3.74</v>
      </c>
      <c r="G997" s="390">
        <v>1</v>
      </c>
      <c r="H997" s="389">
        <f t="shared" si="114"/>
        <v>8.4898000000000007</v>
      </c>
      <c r="I997" s="483"/>
      <c r="J997" s="399"/>
      <c r="K997" s="399" t="s">
        <v>3</v>
      </c>
      <c r="L997" s="389">
        <f t="shared" si="116"/>
        <v>8.4898000000000007</v>
      </c>
    </row>
    <row r="998" spans="2:12" ht="14.4" x14ac:dyDescent="0.25">
      <c r="B998" s="217" t="s">
        <v>486</v>
      </c>
      <c r="C998" s="398"/>
      <c r="D998" s="389">
        <v>3.43</v>
      </c>
      <c r="E998" s="389"/>
      <c r="F998" s="389">
        <v>3.74</v>
      </c>
      <c r="G998" s="390">
        <v>1</v>
      </c>
      <c r="H998" s="389">
        <f t="shared" si="114"/>
        <v>12.828200000000001</v>
      </c>
      <c r="I998" s="483"/>
      <c r="J998" s="399"/>
      <c r="K998" s="399" t="s">
        <v>3</v>
      </c>
      <c r="L998" s="389">
        <f t="shared" si="116"/>
        <v>12.828200000000001</v>
      </c>
    </row>
    <row r="999" spans="2:12" ht="14.4" x14ac:dyDescent="0.25">
      <c r="B999" s="217" t="s">
        <v>492</v>
      </c>
      <c r="C999" s="398"/>
      <c r="D999" s="389">
        <v>1.27</v>
      </c>
      <c r="E999" s="389"/>
      <c r="F999" s="389">
        <v>3.74</v>
      </c>
      <c r="G999" s="390">
        <v>1</v>
      </c>
      <c r="H999" s="389">
        <f t="shared" si="114"/>
        <v>4.7498000000000005</v>
      </c>
      <c r="I999" s="483"/>
      <c r="J999" s="399"/>
      <c r="K999" s="399" t="s">
        <v>3</v>
      </c>
      <c r="L999" s="389">
        <f t="shared" si="116"/>
        <v>4.7498000000000005</v>
      </c>
    </row>
    <row r="1000" spans="2:12" ht="14.4" x14ac:dyDescent="0.25">
      <c r="B1000" s="217" t="s">
        <v>493</v>
      </c>
      <c r="C1000" s="398"/>
      <c r="D1000" s="389">
        <v>1.2</v>
      </c>
      <c r="E1000" s="389"/>
      <c r="F1000" s="389">
        <v>3.74</v>
      </c>
      <c r="G1000" s="390">
        <v>1</v>
      </c>
      <c r="H1000" s="389">
        <f t="shared" si="114"/>
        <v>4.4880000000000004</v>
      </c>
      <c r="I1000" s="483"/>
      <c r="J1000" s="399"/>
      <c r="K1000" s="399" t="s">
        <v>3</v>
      </c>
      <c r="L1000" s="389">
        <f t="shared" si="116"/>
        <v>4.4880000000000004</v>
      </c>
    </row>
    <row r="1001" spans="2:12" ht="14.4" x14ac:dyDescent="0.25">
      <c r="B1001" s="217" t="s">
        <v>494</v>
      </c>
      <c r="C1001" s="398"/>
      <c r="D1001" s="389">
        <v>2.1</v>
      </c>
      <c r="E1001" s="389"/>
      <c r="F1001" s="389">
        <v>3.74</v>
      </c>
      <c r="G1001" s="390">
        <v>1</v>
      </c>
      <c r="H1001" s="389">
        <f t="shared" si="114"/>
        <v>7.854000000000001</v>
      </c>
      <c r="I1001" s="483"/>
      <c r="J1001" s="399"/>
      <c r="K1001" s="399" t="s">
        <v>3</v>
      </c>
      <c r="L1001" s="389">
        <f t="shared" si="116"/>
        <v>7.854000000000001</v>
      </c>
    </row>
    <row r="1002" spans="2:12" ht="14.4" x14ac:dyDescent="0.25">
      <c r="B1002" s="217" t="s">
        <v>501</v>
      </c>
      <c r="C1002" s="398"/>
      <c r="D1002" s="389">
        <v>1.87</v>
      </c>
      <c r="E1002" s="389"/>
      <c r="F1002" s="389">
        <v>3.74</v>
      </c>
      <c r="G1002" s="390">
        <v>1</v>
      </c>
      <c r="H1002" s="389">
        <f t="shared" si="114"/>
        <v>6.9938000000000011</v>
      </c>
      <c r="I1002" s="483"/>
      <c r="J1002" s="399"/>
      <c r="K1002" s="399" t="s">
        <v>3</v>
      </c>
      <c r="L1002" s="389">
        <f t="shared" si="116"/>
        <v>6.9938000000000011</v>
      </c>
    </row>
    <row r="1003" spans="2:12" ht="14.4" x14ac:dyDescent="0.25">
      <c r="B1003" s="199" t="s">
        <v>513</v>
      </c>
      <c r="C1003" s="398"/>
      <c r="D1003" s="389">
        <v>2.27</v>
      </c>
      <c r="E1003" s="389"/>
      <c r="F1003" s="389">
        <v>3.74</v>
      </c>
      <c r="G1003" s="390">
        <v>1</v>
      </c>
      <c r="H1003" s="389">
        <f t="shared" si="114"/>
        <v>4.2898000000000005</v>
      </c>
      <c r="I1003" s="483">
        <v>4.2</v>
      </c>
      <c r="J1003" s="399"/>
      <c r="K1003" s="399" t="s">
        <v>3</v>
      </c>
      <c r="L1003" s="389">
        <f t="shared" si="116"/>
        <v>4.2898000000000005</v>
      </c>
    </row>
    <row r="1004" spans="2:12" ht="14.4" x14ac:dyDescent="0.25">
      <c r="B1004" s="391" t="s">
        <v>563</v>
      </c>
      <c r="C1004" s="205"/>
      <c r="D1004" s="392">
        <f>SUM(D988:D1003)</f>
        <v>38.440000000000005</v>
      </c>
      <c r="E1004" s="401"/>
      <c r="F1004" s="393"/>
      <c r="G1004" s="394"/>
      <c r="H1004" s="395"/>
      <c r="I1004" s="395"/>
      <c r="J1004" s="395"/>
      <c r="K1004" s="396" t="s">
        <v>3</v>
      </c>
      <c r="L1004" s="397">
        <f>SUM(L988:L1003)</f>
        <v>120.92560000000002</v>
      </c>
    </row>
    <row r="1005" spans="2:12" ht="14.4" x14ac:dyDescent="0.25">
      <c r="B1005" s="822" t="s">
        <v>1</v>
      </c>
      <c r="C1005" s="55" t="s">
        <v>0</v>
      </c>
      <c r="D1005" s="52" t="s">
        <v>12</v>
      </c>
      <c r="E1005" s="52" t="s">
        <v>4</v>
      </c>
      <c r="F1005" s="52" t="s">
        <v>2</v>
      </c>
      <c r="G1005" s="52" t="s">
        <v>6</v>
      </c>
      <c r="H1005" s="148" t="s">
        <v>5</v>
      </c>
      <c r="I1005" s="56" t="s">
        <v>13</v>
      </c>
      <c r="J1005" s="148" t="s">
        <v>14</v>
      </c>
      <c r="K1005" s="822" t="s">
        <v>7</v>
      </c>
      <c r="L1005" s="824" t="s">
        <v>8</v>
      </c>
    </row>
    <row r="1006" spans="2:12" ht="14.4" x14ac:dyDescent="0.3">
      <c r="B1006" s="823"/>
      <c r="C1006" s="80" t="s">
        <v>9</v>
      </c>
      <c r="D1006" s="81" t="s">
        <v>10</v>
      </c>
      <c r="E1006" s="81" t="s">
        <v>10</v>
      </c>
      <c r="F1006" s="81" t="s">
        <v>10</v>
      </c>
      <c r="G1006" s="80" t="s">
        <v>9</v>
      </c>
      <c r="H1006" s="82" t="s">
        <v>11</v>
      </c>
      <c r="I1006" s="113" t="s">
        <v>11</v>
      </c>
      <c r="J1006" s="82" t="s">
        <v>15</v>
      </c>
      <c r="K1006" s="823"/>
      <c r="L1006" s="825"/>
    </row>
    <row r="1007" spans="2:12" ht="14.4" x14ac:dyDescent="0.3">
      <c r="B1007" s="20" t="s">
        <v>695</v>
      </c>
      <c r="C1007" s="381"/>
      <c r="D1007" s="382"/>
      <c r="E1007" s="382"/>
      <c r="F1007" s="382"/>
      <c r="G1007" s="381"/>
      <c r="H1007" s="383"/>
      <c r="I1007" s="384"/>
      <c r="J1007" s="383"/>
      <c r="K1007" s="383"/>
      <c r="L1007" s="7"/>
    </row>
    <row r="1008" spans="2:12" ht="14.4" x14ac:dyDescent="0.3">
      <c r="B1008" s="379" t="s">
        <v>483</v>
      </c>
      <c r="C1008" s="385"/>
      <c r="D1008" s="483">
        <v>2.2999999999999998</v>
      </c>
      <c r="E1008" s="386"/>
      <c r="F1008" s="16">
        <v>3.74</v>
      </c>
      <c r="G1008" s="478">
        <v>1</v>
      </c>
      <c r="H1008" s="389">
        <f t="shared" ref="H1008:H1020" si="117">D1008*F1008*G1008-I1008</f>
        <v>8.6020000000000003</v>
      </c>
      <c r="I1008" s="507"/>
      <c r="J1008" s="387"/>
      <c r="K1008" s="387" t="s">
        <v>3</v>
      </c>
      <c r="L1008" s="389">
        <f t="shared" ref="L1008:L1020" si="118">H1008</f>
        <v>8.6020000000000003</v>
      </c>
    </row>
    <row r="1009" spans="2:12" ht="14.4" x14ac:dyDescent="0.25">
      <c r="B1009" s="379" t="s">
        <v>484</v>
      </c>
      <c r="C1009" s="11"/>
      <c r="D1009" s="16">
        <v>1.4</v>
      </c>
      <c r="E1009" s="479"/>
      <c r="F1009" s="16">
        <v>3.74</v>
      </c>
      <c r="G1009" s="478">
        <v>1</v>
      </c>
      <c r="H1009" s="389">
        <f t="shared" si="117"/>
        <v>5.2359999999999998</v>
      </c>
      <c r="I1009" s="50"/>
      <c r="J1009" s="17"/>
      <c r="K1009" s="50" t="s">
        <v>3</v>
      </c>
      <c r="L1009" s="389">
        <f t="shared" si="118"/>
        <v>5.2359999999999998</v>
      </c>
    </row>
    <row r="1010" spans="2:12" ht="14.4" x14ac:dyDescent="0.25">
      <c r="B1010" s="379" t="s">
        <v>487</v>
      </c>
      <c r="C1010" s="11"/>
      <c r="D1010" s="16">
        <v>1.55</v>
      </c>
      <c r="E1010" s="479"/>
      <c r="F1010" s="16">
        <v>3.74</v>
      </c>
      <c r="G1010" s="478">
        <v>2</v>
      </c>
      <c r="H1010" s="389">
        <f t="shared" si="117"/>
        <v>11.594000000000001</v>
      </c>
      <c r="I1010" s="17"/>
      <c r="J1010" s="17"/>
      <c r="K1010" s="50" t="s">
        <v>3</v>
      </c>
      <c r="L1010" s="389">
        <f t="shared" si="118"/>
        <v>11.594000000000001</v>
      </c>
    </row>
    <row r="1011" spans="2:12" ht="14.4" x14ac:dyDescent="0.25">
      <c r="B1011" s="379" t="s">
        <v>488</v>
      </c>
      <c r="C1011" s="11"/>
      <c r="D1011" s="16">
        <v>2.4500000000000002</v>
      </c>
      <c r="E1011" s="479"/>
      <c r="F1011" s="16">
        <v>3.74</v>
      </c>
      <c r="G1011" s="478">
        <v>1</v>
      </c>
      <c r="H1011" s="389">
        <f t="shared" si="117"/>
        <v>9.163000000000002</v>
      </c>
      <c r="I1011" s="17"/>
      <c r="J1011" s="17"/>
      <c r="K1011" s="50" t="s">
        <v>3</v>
      </c>
      <c r="L1011" s="389">
        <f t="shared" si="118"/>
        <v>9.163000000000002</v>
      </c>
    </row>
    <row r="1012" spans="2:12" ht="14.4" x14ac:dyDescent="0.25">
      <c r="B1012" s="379" t="s">
        <v>489</v>
      </c>
      <c r="C1012" s="11"/>
      <c r="D1012" s="16">
        <v>10.84</v>
      </c>
      <c r="E1012" s="479"/>
      <c r="F1012" s="16">
        <v>3.74</v>
      </c>
      <c r="G1012" s="478">
        <v>1</v>
      </c>
      <c r="H1012" s="389">
        <f t="shared" si="117"/>
        <v>40.541600000000003</v>
      </c>
      <c r="I1012" s="17"/>
      <c r="J1012" s="17"/>
      <c r="K1012" s="50" t="s">
        <v>3</v>
      </c>
      <c r="L1012" s="389">
        <f t="shared" si="118"/>
        <v>40.541600000000003</v>
      </c>
    </row>
    <row r="1013" spans="2:12" ht="14.4" x14ac:dyDescent="0.25">
      <c r="B1013" s="379" t="s">
        <v>490</v>
      </c>
      <c r="C1013" s="11"/>
      <c r="D1013" s="16">
        <v>4.93</v>
      </c>
      <c r="E1013" s="479"/>
      <c r="F1013" s="16">
        <v>3.74</v>
      </c>
      <c r="G1013" s="478">
        <v>1</v>
      </c>
      <c r="H1013" s="389">
        <f t="shared" si="117"/>
        <v>18.438199999999998</v>
      </c>
      <c r="I1013" s="17"/>
      <c r="J1013" s="17"/>
      <c r="K1013" s="50" t="s">
        <v>3</v>
      </c>
      <c r="L1013" s="389">
        <f t="shared" si="118"/>
        <v>18.438199999999998</v>
      </c>
    </row>
    <row r="1014" spans="2:12" ht="14.4" x14ac:dyDescent="0.25">
      <c r="B1014" s="379" t="s">
        <v>491</v>
      </c>
      <c r="C1014" s="11"/>
      <c r="D1014" s="16">
        <v>5.29</v>
      </c>
      <c r="E1014" s="479"/>
      <c r="F1014" s="16">
        <v>3.74</v>
      </c>
      <c r="G1014" s="478">
        <v>1</v>
      </c>
      <c r="H1014" s="389">
        <f t="shared" si="117"/>
        <v>19.784600000000001</v>
      </c>
      <c r="I1014" s="17"/>
      <c r="J1014" s="17"/>
      <c r="K1014" s="50" t="s">
        <v>3</v>
      </c>
      <c r="L1014" s="389">
        <f t="shared" si="118"/>
        <v>19.784600000000001</v>
      </c>
    </row>
    <row r="1015" spans="2:12" ht="14.4" x14ac:dyDescent="0.25">
      <c r="B1015" s="379" t="s">
        <v>495</v>
      </c>
      <c r="C1015" s="11"/>
      <c r="D1015" s="16">
        <v>2.4500000000000002</v>
      </c>
      <c r="E1015" s="479"/>
      <c r="F1015" s="16">
        <v>3.74</v>
      </c>
      <c r="G1015" s="478">
        <v>2</v>
      </c>
      <c r="H1015" s="389">
        <f t="shared" si="117"/>
        <v>18.326000000000004</v>
      </c>
      <c r="I1015" s="17"/>
      <c r="J1015" s="17"/>
      <c r="K1015" s="50" t="s">
        <v>3</v>
      </c>
      <c r="L1015" s="389">
        <f t="shared" si="118"/>
        <v>18.326000000000004</v>
      </c>
    </row>
    <row r="1016" spans="2:12" ht="14.4" x14ac:dyDescent="0.25">
      <c r="B1016" s="379" t="s">
        <v>496</v>
      </c>
      <c r="C1016" s="11"/>
      <c r="D1016" s="16">
        <v>3.68</v>
      </c>
      <c r="E1016" s="479"/>
      <c r="F1016" s="16">
        <v>3.74</v>
      </c>
      <c r="G1016" s="478">
        <v>1</v>
      </c>
      <c r="H1016" s="389">
        <f t="shared" si="117"/>
        <v>13.763200000000001</v>
      </c>
      <c r="I1016" s="17"/>
      <c r="J1016" s="17"/>
      <c r="K1016" s="50" t="s">
        <v>3</v>
      </c>
      <c r="L1016" s="389">
        <f t="shared" si="118"/>
        <v>13.763200000000001</v>
      </c>
    </row>
    <row r="1017" spans="2:12" ht="14.4" x14ac:dyDescent="0.25">
      <c r="B1017" s="379" t="s">
        <v>497</v>
      </c>
      <c r="C1017" s="11"/>
      <c r="D1017" s="16">
        <v>1.67</v>
      </c>
      <c r="E1017" s="479"/>
      <c r="F1017" s="16">
        <v>3.74</v>
      </c>
      <c r="G1017" s="478">
        <v>1</v>
      </c>
      <c r="H1017" s="389">
        <f t="shared" si="117"/>
        <v>6.2458</v>
      </c>
      <c r="I1017" s="17"/>
      <c r="J1017" s="17"/>
      <c r="K1017" s="50" t="s">
        <v>3</v>
      </c>
      <c r="L1017" s="389">
        <f t="shared" si="118"/>
        <v>6.2458</v>
      </c>
    </row>
    <row r="1018" spans="2:12" ht="14.4" x14ac:dyDescent="0.25">
      <c r="B1018" s="379" t="s">
        <v>498</v>
      </c>
      <c r="C1018" s="11"/>
      <c r="D1018" s="16">
        <v>1.45</v>
      </c>
      <c r="E1018" s="479"/>
      <c r="F1018" s="16">
        <v>3.74</v>
      </c>
      <c r="G1018" s="478">
        <v>1</v>
      </c>
      <c r="H1018" s="389">
        <f t="shared" si="117"/>
        <v>5.423</v>
      </c>
      <c r="I1018" s="17"/>
      <c r="J1018" s="17"/>
      <c r="K1018" s="50" t="s">
        <v>3</v>
      </c>
      <c r="L1018" s="389">
        <f t="shared" si="118"/>
        <v>5.423</v>
      </c>
    </row>
    <row r="1019" spans="2:12" ht="14.4" x14ac:dyDescent="0.25">
      <c r="B1019" s="379" t="s">
        <v>499</v>
      </c>
      <c r="C1019" s="11"/>
      <c r="D1019" s="16">
        <v>1.8</v>
      </c>
      <c r="E1019" s="479"/>
      <c r="F1019" s="16">
        <v>3.74</v>
      </c>
      <c r="G1019" s="478">
        <v>1</v>
      </c>
      <c r="H1019" s="389">
        <f t="shared" si="117"/>
        <v>6.7320000000000002</v>
      </c>
      <c r="I1019" s="17"/>
      <c r="J1019" s="17"/>
      <c r="K1019" s="50" t="s">
        <v>3</v>
      </c>
      <c r="L1019" s="389">
        <f t="shared" si="118"/>
        <v>6.7320000000000002</v>
      </c>
    </row>
    <row r="1020" spans="2:12" ht="14.4" x14ac:dyDescent="0.25">
      <c r="B1020" s="379" t="s">
        <v>500</v>
      </c>
      <c r="C1020" s="11"/>
      <c r="D1020" s="16">
        <v>0.4</v>
      </c>
      <c r="E1020" s="479"/>
      <c r="F1020" s="16">
        <v>3.74</v>
      </c>
      <c r="G1020" s="478">
        <v>2</v>
      </c>
      <c r="H1020" s="389">
        <f t="shared" si="117"/>
        <v>2.9920000000000004</v>
      </c>
      <c r="I1020" s="17"/>
      <c r="J1020" s="17"/>
      <c r="K1020" s="50" t="s">
        <v>3</v>
      </c>
      <c r="L1020" s="389">
        <f t="shared" si="118"/>
        <v>2.9920000000000004</v>
      </c>
    </row>
    <row r="1021" spans="2:12" ht="14.4" x14ac:dyDescent="0.25">
      <c r="B1021" s="21" t="s">
        <v>563</v>
      </c>
      <c r="C1021" s="12"/>
      <c r="D1021" s="35">
        <f>SUM(D1008:D1020)</f>
        <v>40.21</v>
      </c>
      <c r="E1021" s="18"/>
      <c r="F1021" s="10"/>
      <c r="G1021" s="22"/>
      <c r="H1021" s="19"/>
      <c r="I1021" s="19"/>
      <c r="J1021" s="19"/>
      <c r="K1021" s="23" t="s">
        <v>3</v>
      </c>
      <c r="L1021" s="499">
        <f>SUM(L1008:L1020)</f>
        <v>166.84140000000002</v>
      </c>
    </row>
    <row r="1022" spans="2:12" ht="14.4" x14ac:dyDescent="0.25">
      <c r="B1022" s="822" t="s">
        <v>1</v>
      </c>
      <c r="C1022" s="55" t="s">
        <v>0</v>
      </c>
      <c r="D1022" s="52" t="s">
        <v>12</v>
      </c>
      <c r="E1022" s="52" t="s">
        <v>4</v>
      </c>
      <c r="F1022" s="52" t="s">
        <v>2</v>
      </c>
      <c r="G1022" s="52" t="s">
        <v>6</v>
      </c>
      <c r="H1022" s="148" t="s">
        <v>5</v>
      </c>
      <c r="I1022" s="56" t="s">
        <v>13</v>
      </c>
      <c r="J1022" s="148" t="s">
        <v>14</v>
      </c>
      <c r="K1022" s="822" t="s">
        <v>7</v>
      </c>
      <c r="L1022" s="824" t="s">
        <v>8</v>
      </c>
    </row>
    <row r="1023" spans="2:12" ht="14.4" x14ac:dyDescent="0.3">
      <c r="B1023" s="823"/>
      <c r="C1023" s="80" t="s">
        <v>9</v>
      </c>
      <c r="D1023" s="81" t="s">
        <v>10</v>
      </c>
      <c r="E1023" s="81" t="s">
        <v>10</v>
      </c>
      <c r="F1023" s="81" t="s">
        <v>10</v>
      </c>
      <c r="G1023" s="80" t="s">
        <v>9</v>
      </c>
      <c r="H1023" s="82" t="s">
        <v>11</v>
      </c>
      <c r="I1023" s="113" t="s">
        <v>11</v>
      </c>
      <c r="J1023" s="82" t="s">
        <v>15</v>
      </c>
      <c r="K1023" s="823"/>
      <c r="L1023" s="825"/>
    </row>
    <row r="1024" spans="2:12" ht="14.4" x14ac:dyDescent="0.3">
      <c r="B1024" s="20" t="s">
        <v>723</v>
      </c>
      <c r="C1024" s="381"/>
      <c r="D1024" s="382"/>
      <c r="E1024" s="382"/>
      <c r="F1024" s="382"/>
      <c r="G1024" s="381"/>
      <c r="H1024" s="383"/>
      <c r="I1024" s="384"/>
      <c r="J1024" s="383"/>
      <c r="K1024" s="383"/>
      <c r="L1024" s="7"/>
    </row>
    <row r="1025" spans="2:12" ht="14.4" x14ac:dyDescent="0.25">
      <c r="B1025" s="217" t="s">
        <v>503</v>
      </c>
      <c r="C1025" s="398"/>
      <c r="D1025" s="483">
        <v>3.79</v>
      </c>
      <c r="E1025" s="389"/>
      <c r="F1025" s="389">
        <v>3.68</v>
      </c>
      <c r="G1025" s="390">
        <v>2</v>
      </c>
      <c r="H1025" s="389">
        <f t="shared" ref="H1025:H1026" si="119">D1025*F1025*G1025-I1025</f>
        <v>27.894400000000001</v>
      </c>
      <c r="I1025" s="481"/>
      <c r="J1025" s="399"/>
      <c r="K1025" s="399" t="s">
        <v>3</v>
      </c>
      <c r="L1025" s="483">
        <f t="shared" ref="L1025:L1026" si="120">H1025</f>
        <v>27.894400000000001</v>
      </c>
    </row>
    <row r="1026" spans="2:12" ht="14.4" x14ac:dyDescent="0.25">
      <c r="B1026" s="217" t="s">
        <v>505</v>
      </c>
      <c r="C1026" s="398"/>
      <c r="D1026" s="483">
        <v>2.78</v>
      </c>
      <c r="E1026" s="389"/>
      <c r="F1026" s="389">
        <v>3.68</v>
      </c>
      <c r="G1026" s="390">
        <v>2</v>
      </c>
      <c r="H1026" s="389">
        <f t="shared" si="119"/>
        <v>20.460799999999999</v>
      </c>
      <c r="I1026" s="481"/>
      <c r="J1026" s="399"/>
      <c r="K1026" s="399" t="s">
        <v>3</v>
      </c>
      <c r="L1026" s="483">
        <f t="shared" si="120"/>
        <v>20.460799999999999</v>
      </c>
    </row>
    <row r="1027" spans="2:12" ht="14.4" x14ac:dyDescent="0.25">
      <c r="B1027" s="21" t="s">
        <v>684</v>
      </c>
      <c r="C1027" s="12"/>
      <c r="D1027" s="35">
        <f>SUM(D1025:D1026)</f>
        <v>6.57</v>
      </c>
      <c r="E1027" s="459"/>
      <c r="F1027" s="10"/>
      <c r="G1027" s="22"/>
      <c r="H1027" s="19"/>
      <c r="I1027" s="19"/>
      <c r="J1027" s="19"/>
      <c r="K1027" s="23" t="s">
        <v>3</v>
      </c>
      <c r="L1027" s="13">
        <f>SUM(L1025:L1026)</f>
        <v>48.355199999999996</v>
      </c>
    </row>
    <row r="1028" spans="2:12" ht="14.4" x14ac:dyDescent="0.25">
      <c r="B1028" s="822" t="s">
        <v>1</v>
      </c>
      <c r="C1028" s="55" t="s">
        <v>0</v>
      </c>
      <c r="D1028" s="52" t="s">
        <v>12</v>
      </c>
      <c r="E1028" s="52" t="s">
        <v>4</v>
      </c>
      <c r="F1028" s="52" t="s">
        <v>2</v>
      </c>
      <c r="G1028" s="52" t="s">
        <v>6</v>
      </c>
      <c r="H1028" s="148" t="s">
        <v>5</v>
      </c>
      <c r="I1028" s="56" t="s">
        <v>13</v>
      </c>
      <c r="J1028" s="148" t="s">
        <v>14</v>
      </c>
      <c r="K1028" s="822" t="s">
        <v>7</v>
      </c>
      <c r="L1028" s="824" t="s">
        <v>8</v>
      </c>
    </row>
    <row r="1029" spans="2:12" ht="14.4" x14ac:dyDescent="0.3">
      <c r="B1029" s="823"/>
      <c r="C1029" s="80" t="s">
        <v>9</v>
      </c>
      <c r="D1029" s="81" t="s">
        <v>10</v>
      </c>
      <c r="E1029" s="81" t="s">
        <v>10</v>
      </c>
      <c r="F1029" s="81" t="s">
        <v>10</v>
      </c>
      <c r="G1029" s="80" t="s">
        <v>9</v>
      </c>
      <c r="H1029" s="82" t="s">
        <v>11</v>
      </c>
      <c r="I1029" s="113" t="s">
        <v>11</v>
      </c>
      <c r="J1029" s="82" t="s">
        <v>15</v>
      </c>
      <c r="K1029" s="823"/>
      <c r="L1029" s="825"/>
    </row>
    <row r="1030" spans="2:12" ht="14.4" x14ac:dyDescent="0.3">
      <c r="B1030" s="20" t="s">
        <v>697</v>
      </c>
      <c r="C1030" s="381"/>
      <c r="D1030" s="382"/>
      <c r="E1030" s="382"/>
      <c r="F1030" s="382"/>
      <c r="G1030" s="381"/>
      <c r="H1030" s="383"/>
      <c r="I1030" s="384"/>
      <c r="J1030" s="383"/>
      <c r="K1030" s="383"/>
      <c r="L1030" s="7"/>
    </row>
    <row r="1031" spans="2:12" ht="14.4" x14ac:dyDescent="0.25">
      <c r="B1031" s="217" t="s">
        <v>502</v>
      </c>
      <c r="C1031" s="398"/>
      <c r="D1031" s="483">
        <v>5.31</v>
      </c>
      <c r="E1031" s="389"/>
      <c r="F1031" s="389">
        <v>3.68</v>
      </c>
      <c r="G1031" s="390">
        <v>1</v>
      </c>
      <c r="H1031" s="389">
        <f t="shared" ref="H1031:H1041" si="121">D1031*F1031*G1031-I1031</f>
        <v>19.540800000000001</v>
      </c>
      <c r="I1031" s="481"/>
      <c r="J1031" s="399"/>
      <c r="K1031" s="399" t="s">
        <v>3</v>
      </c>
      <c r="L1031" s="483">
        <f t="shared" ref="L1031:L1041" si="122">H1031</f>
        <v>19.540800000000001</v>
      </c>
    </row>
    <row r="1032" spans="2:12" ht="14.4" x14ac:dyDescent="0.25">
      <c r="B1032" s="217" t="s">
        <v>504</v>
      </c>
      <c r="C1032" s="398"/>
      <c r="D1032" s="483">
        <v>1.96</v>
      </c>
      <c r="E1032" s="389"/>
      <c r="F1032" s="389">
        <v>3.68</v>
      </c>
      <c r="G1032" s="390">
        <v>1</v>
      </c>
      <c r="H1032" s="389">
        <f t="shared" si="121"/>
        <v>7.2128000000000005</v>
      </c>
      <c r="I1032" s="481"/>
      <c r="J1032" s="399"/>
      <c r="K1032" s="399" t="s">
        <v>3</v>
      </c>
      <c r="L1032" s="483">
        <f t="shared" si="122"/>
        <v>7.2128000000000005</v>
      </c>
    </row>
    <row r="1033" spans="2:12" ht="14.4" x14ac:dyDescent="0.25">
      <c r="B1033" s="199" t="s">
        <v>506</v>
      </c>
      <c r="C1033" s="398"/>
      <c r="D1033" s="483">
        <v>4.7300000000000004</v>
      </c>
      <c r="E1033" s="389"/>
      <c r="F1033" s="389">
        <v>3.68</v>
      </c>
      <c r="G1033" s="390">
        <v>1</v>
      </c>
      <c r="H1033" s="389">
        <f t="shared" si="121"/>
        <v>17.406400000000001</v>
      </c>
      <c r="I1033" s="481"/>
      <c r="J1033" s="399"/>
      <c r="K1033" s="399" t="s">
        <v>3</v>
      </c>
      <c r="L1033" s="483">
        <f t="shared" si="122"/>
        <v>17.406400000000001</v>
      </c>
    </row>
    <row r="1034" spans="2:12" ht="14.4" x14ac:dyDescent="0.25">
      <c r="B1034" s="379" t="s">
        <v>507</v>
      </c>
      <c r="C1034" s="398"/>
      <c r="D1034" s="483">
        <v>2.74</v>
      </c>
      <c r="E1034" s="389"/>
      <c r="F1034" s="389">
        <v>3.68</v>
      </c>
      <c r="G1034" s="390">
        <v>1</v>
      </c>
      <c r="H1034" s="389">
        <f t="shared" si="121"/>
        <v>10.083200000000001</v>
      </c>
      <c r="I1034" s="481"/>
      <c r="J1034" s="399"/>
      <c r="K1034" s="399" t="s">
        <v>3</v>
      </c>
      <c r="L1034" s="483">
        <f t="shared" si="122"/>
        <v>10.083200000000001</v>
      </c>
    </row>
    <row r="1035" spans="2:12" ht="14.4" x14ac:dyDescent="0.25">
      <c r="B1035" s="379" t="s">
        <v>508</v>
      </c>
      <c r="C1035" s="398"/>
      <c r="D1035" s="483">
        <v>2.5299999999999998</v>
      </c>
      <c r="E1035" s="389"/>
      <c r="F1035" s="389">
        <v>4.5</v>
      </c>
      <c r="G1035" s="390">
        <v>1</v>
      </c>
      <c r="H1035" s="389">
        <f t="shared" si="121"/>
        <v>11.385</v>
      </c>
      <c r="I1035" s="481"/>
      <c r="J1035" s="399"/>
      <c r="K1035" s="399" t="s">
        <v>3</v>
      </c>
      <c r="L1035" s="483">
        <f t="shared" si="122"/>
        <v>11.385</v>
      </c>
    </row>
    <row r="1036" spans="2:12" ht="14.4" x14ac:dyDescent="0.25">
      <c r="B1036" s="379" t="s">
        <v>509</v>
      </c>
      <c r="C1036" s="398"/>
      <c r="D1036" s="483">
        <v>2.97</v>
      </c>
      <c r="E1036" s="389"/>
      <c r="F1036" s="389">
        <v>4.5</v>
      </c>
      <c r="G1036" s="390">
        <v>1</v>
      </c>
      <c r="H1036" s="389">
        <f t="shared" si="121"/>
        <v>13.365</v>
      </c>
      <c r="I1036" s="481"/>
      <c r="J1036" s="399"/>
      <c r="K1036" s="399" t="s">
        <v>3</v>
      </c>
      <c r="L1036" s="483">
        <f t="shared" si="122"/>
        <v>13.365</v>
      </c>
    </row>
    <row r="1037" spans="2:12" ht="14.4" x14ac:dyDescent="0.25">
      <c r="B1037" s="379" t="s">
        <v>510</v>
      </c>
      <c r="C1037" s="398"/>
      <c r="D1037" s="483">
        <v>1.89</v>
      </c>
      <c r="E1037" s="389"/>
      <c r="F1037" s="389">
        <v>4.5</v>
      </c>
      <c r="G1037" s="390">
        <v>1</v>
      </c>
      <c r="H1037" s="389">
        <f t="shared" si="121"/>
        <v>8.504999999999999</v>
      </c>
      <c r="I1037" s="481"/>
      <c r="J1037" s="399"/>
      <c r="K1037" s="399" t="s">
        <v>3</v>
      </c>
      <c r="L1037" s="483">
        <f t="shared" si="122"/>
        <v>8.504999999999999</v>
      </c>
    </row>
    <row r="1038" spans="2:12" ht="14.4" x14ac:dyDescent="0.25">
      <c r="B1038" s="379" t="s">
        <v>511</v>
      </c>
      <c r="C1038" s="398"/>
      <c r="D1038" s="483">
        <v>2.2799999999999998</v>
      </c>
      <c r="E1038" s="389"/>
      <c r="F1038" s="389">
        <v>4.5</v>
      </c>
      <c r="G1038" s="390">
        <v>1</v>
      </c>
      <c r="H1038" s="389">
        <f t="shared" si="121"/>
        <v>10.26</v>
      </c>
      <c r="I1038" s="481"/>
      <c r="J1038" s="399"/>
      <c r="K1038" s="399" t="s">
        <v>3</v>
      </c>
      <c r="L1038" s="483">
        <f t="shared" si="122"/>
        <v>10.26</v>
      </c>
    </row>
    <row r="1039" spans="2:12" ht="14.4" x14ac:dyDescent="0.25">
      <c r="B1039" s="379" t="s">
        <v>512</v>
      </c>
      <c r="C1039" s="398"/>
      <c r="D1039" s="483">
        <v>2.86</v>
      </c>
      <c r="E1039" s="389"/>
      <c r="F1039" s="389">
        <v>4.5</v>
      </c>
      <c r="G1039" s="390">
        <v>1</v>
      </c>
      <c r="H1039" s="389">
        <f t="shared" si="121"/>
        <v>12.87</v>
      </c>
      <c r="I1039" s="481"/>
      <c r="J1039" s="399"/>
      <c r="K1039" s="399" t="s">
        <v>3</v>
      </c>
      <c r="L1039" s="483">
        <f t="shared" si="122"/>
        <v>12.87</v>
      </c>
    </row>
    <row r="1040" spans="2:12" ht="14.4" x14ac:dyDescent="0.25">
      <c r="B1040" s="379" t="s">
        <v>513</v>
      </c>
      <c r="C1040" s="398"/>
      <c r="D1040" s="483">
        <v>8.1300000000000008</v>
      </c>
      <c r="E1040" s="389"/>
      <c r="F1040" s="389">
        <v>3.68</v>
      </c>
      <c r="G1040" s="390">
        <v>1</v>
      </c>
      <c r="H1040" s="389">
        <f t="shared" si="121"/>
        <v>29.918400000000005</v>
      </c>
      <c r="I1040" s="481"/>
      <c r="J1040" s="399"/>
      <c r="K1040" s="399" t="s">
        <v>3</v>
      </c>
      <c r="L1040" s="483">
        <f t="shared" si="122"/>
        <v>29.918400000000005</v>
      </c>
    </row>
    <row r="1041" spans="2:12" ht="14.4" x14ac:dyDescent="0.25">
      <c r="B1041" s="379" t="s">
        <v>514</v>
      </c>
      <c r="C1041" s="398"/>
      <c r="D1041" s="483">
        <v>5.27</v>
      </c>
      <c r="E1041" s="389"/>
      <c r="F1041" s="389">
        <v>3.68</v>
      </c>
      <c r="G1041" s="390">
        <v>1</v>
      </c>
      <c r="H1041" s="389">
        <f t="shared" si="121"/>
        <v>19.393599999999999</v>
      </c>
      <c r="I1041" s="481"/>
      <c r="J1041" s="399"/>
      <c r="K1041" s="399" t="s">
        <v>3</v>
      </c>
      <c r="L1041" s="483">
        <f t="shared" si="122"/>
        <v>19.393599999999999</v>
      </c>
    </row>
    <row r="1042" spans="2:12" ht="14.4" x14ac:dyDescent="0.25">
      <c r="B1042" s="21" t="s">
        <v>564</v>
      </c>
      <c r="C1042" s="12"/>
      <c r="D1042" s="35">
        <f>SUM(D1031:D1041)</f>
        <v>40.67</v>
      </c>
      <c r="E1042" s="459"/>
      <c r="F1042" s="10"/>
      <c r="G1042" s="22"/>
      <c r="H1042" s="19"/>
      <c r="I1042" s="19"/>
      <c r="J1042" s="19"/>
      <c r="K1042" s="23" t="s">
        <v>3</v>
      </c>
      <c r="L1042" s="13">
        <f>SUM(L1031:L1041)</f>
        <v>159.9402</v>
      </c>
    </row>
    <row r="1043" spans="2:12" ht="15.6" x14ac:dyDescent="0.25">
      <c r="B1043" s="545" t="s">
        <v>645</v>
      </c>
      <c r="C1043" s="546"/>
      <c r="D1043" s="547"/>
      <c r="E1043" s="547"/>
      <c r="F1043" s="547"/>
      <c r="G1043" s="546"/>
      <c r="H1043" s="548"/>
      <c r="I1043" s="549"/>
      <c r="J1043" s="548"/>
      <c r="K1043" s="548"/>
      <c r="L1043" s="550"/>
    </row>
    <row r="1044" spans="2:12" ht="15.6" x14ac:dyDescent="0.25">
      <c r="B1044" s="59" t="s">
        <v>615</v>
      </c>
      <c r="C1044" s="119"/>
      <c r="D1044" s="120"/>
      <c r="E1044" s="119"/>
      <c r="F1044" s="121"/>
      <c r="G1044" s="122"/>
      <c r="H1044" s="123"/>
      <c r="I1044" s="123"/>
      <c r="J1044" s="123"/>
      <c r="K1044" s="124"/>
      <c r="L1044" s="125"/>
    </row>
    <row r="1045" spans="2:12" ht="14.4" x14ac:dyDescent="0.25">
      <c r="B1045" s="822" t="s">
        <v>1</v>
      </c>
      <c r="C1045" s="55" t="s">
        <v>0</v>
      </c>
      <c r="D1045" s="52" t="s">
        <v>12</v>
      </c>
      <c r="E1045" s="52" t="s">
        <v>4</v>
      </c>
      <c r="F1045" s="52" t="s">
        <v>2</v>
      </c>
      <c r="G1045" s="52" t="s">
        <v>6</v>
      </c>
      <c r="H1045" s="148" t="s">
        <v>5</v>
      </c>
      <c r="I1045" s="56" t="s">
        <v>13</v>
      </c>
      <c r="J1045" s="148" t="s">
        <v>14</v>
      </c>
      <c r="K1045" s="822" t="s">
        <v>7</v>
      </c>
      <c r="L1045" s="824" t="s">
        <v>8</v>
      </c>
    </row>
    <row r="1046" spans="2:12" ht="14.4" x14ac:dyDescent="0.3">
      <c r="B1046" s="823"/>
      <c r="C1046" s="80" t="s">
        <v>9</v>
      </c>
      <c r="D1046" s="81" t="s">
        <v>10</v>
      </c>
      <c r="E1046" s="81" t="s">
        <v>10</v>
      </c>
      <c r="F1046" s="81" t="s">
        <v>10</v>
      </c>
      <c r="G1046" s="80" t="s">
        <v>9</v>
      </c>
      <c r="H1046" s="82" t="s">
        <v>11</v>
      </c>
      <c r="I1046" s="113" t="s">
        <v>11</v>
      </c>
      <c r="J1046" s="82" t="s">
        <v>15</v>
      </c>
      <c r="K1046" s="823"/>
      <c r="L1046" s="825"/>
    </row>
    <row r="1047" spans="2:12" ht="14.4" x14ac:dyDescent="0.3">
      <c r="B1047" s="20" t="s">
        <v>694</v>
      </c>
      <c r="C1047" s="381"/>
      <c r="D1047" s="382"/>
      <c r="E1047" s="382"/>
      <c r="F1047" s="382"/>
      <c r="G1047" s="381"/>
      <c r="H1047" s="383"/>
      <c r="I1047" s="384"/>
      <c r="J1047" s="383"/>
      <c r="K1047" s="383"/>
      <c r="L1047" s="7"/>
    </row>
    <row r="1048" spans="2:12" ht="14.4" x14ac:dyDescent="0.25">
      <c r="B1048" s="217" t="s">
        <v>485</v>
      </c>
      <c r="C1048" s="398"/>
      <c r="D1048" s="483">
        <v>1.8</v>
      </c>
      <c r="E1048" s="389"/>
      <c r="F1048" s="389">
        <v>3.4</v>
      </c>
      <c r="G1048" s="390">
        <v>1</v>
      </c>
      <c r="H1048" s="389">
        <f t="shared" ref="H1048:H1055" si="123">D1048*F1048*G1048-I1048</f>
        <v>6.12</v>
      </c>
      <c r="I1048" s="481"/>
      <c r="J1048" s="399"/>
      <c r="K1048" s="399" t="s">
        <v>3</v>
      </c>
      <c r="L1048" s="483">
        <f t="shared" ref="L1048:L1055" si="124">H1048</f>
        <v>6.12</v>
      </c>
    </row>
    <row r="1049" spans="2:12" ht="14.4" x14ac:dyDescent="0.25">
      <c r="B1049" s="217" t="s">
        <v>486</v>
      </c>
      <c r="C1049" s="398"/>
      <c r="D1049" s="483">
        <v>4.7</v>
      </c>
      <c r="E1049" s="389"/>
      <c r="F1049" s="389">
        <v>3.4</v>
      </c>
      <c r="G1049" s="390">
        <v>1</v>
      </c>
      <c r="H1049" s="389">
        <f t="shared" si="123"/>
        <v>15.98</v>
      </c>
      <c r="I1049" s="481"/>
      <c r="J1049" s="399"/>
      <c r="K1049" s="399" t="s">
        <v>3</v>
      </c>
      <c r="L1049" s="483">
        <f t="shared" si="124"/>
        <v>15.98</v>
      </c>
    </row>
    <row r="1050" spans="2:12" ht="14.4" x14ac:dyDescent="0.25">
      <c r="B1050" s="199" t="s">
        <v>487</v>
      </c>
      <c r="C1050" s="398"/>
      <c r="D1050" s="483">
        <v>6.92</v>
      </c>
      <c r="E1050" s="389"/>
      <c r="F1050" s="389">
        <v>3.4</v>
      </c>
      <c r="G1050" s="390">
        <v>1</v>
      </c>
      <c r="H1050" s="389">
        <f t="shared" si="123"/>
        <v>23.527999999999999</v>
      </c>
      <c r="I1050" s="481"/>
      <c r="J1050" s="399"/>
      <c r="K1050" s="399" t="s">
        <v>3</v>
      </c>
      <c r="L1050" s="483">
        <f t="shared" si="124"/>
        <v>23.527999999999999</v>
      </c>
    </row>
    <row r="1051" spans="2:12" ht="14.4" x14ac:dyDescent="0.25">
      <c r="B1051" s="217" t="s">
        <v>488</v>
      </c>
      <c r="C1051" s="398"/>
      <c r="D1051" s="483">
        <v>6.92</v>
      </c>
      <c r="E1051" s="389"/>
      <c r="F1051" s="389">
        <v>3.4</v>
      </c>
      <c r="G1051" s="390">
        <v>1</v>
      </c>
      <c r="H1051" s="389">
        <f t="shared" si="123"/>
        <v>23.527999999999999</v>
      </c>
      <c r="I1051" s="481"/>
      <c r="J1051" s="399"/>
      <c r="K1051" s="399" t="s">
        <v>3</v>
      </c>
      <c r="L1051" s="483">
        <f t="shared" si="124"/>
        <v>23.527999999999999</v>
      </c>
    </row>
    <row r="1052" spans="2:12" ht="14.4" x14ac:dyDescent="0.25">
      <c r="B1052" s="217" t="s">
        <v>490</v>
      </c>
      <c r="C1052" s="398"/>
      <c r="D1052" s="483">
        <v>0.45</v>
      </c>
      <c r="E1052" s="389"/>
      <c r="F1052" s="389">
        <v>3.4</v>
      </c>
      <c r="G1052" s="390">
        <v>2</v>
      </c>
      <c r="H1052" s="389">
        <f t="shared" si="123"/>
        <v>3.06</v>
      </c>
      <c r="I1052" s="481"/>
      <c r="J1052" s="399"/>
      <c r="K1052" s="399" t="s">
        <v>3</v>
      </c>
      <c r="L1052" s="483">
        <f t="shared" si="124"/>
        <v>3.06</v>
      </c>
    </row>
    <row r="1053" spans="2:12" ht="14.4" x14ac:dyDescent="0.25">
      <c r="B1053" s="217" t="s">
        <v>491</v>
      </c>
      <c r="C1053" s="398"/>
      <c r="D1053" s="483">
        <v>7.6</v>
      </c>
      <c r="E1053" s="389"/>
      <c r="F1053" s="389">
        <v>3.4</v>
      </c>
      <c r="G1053" s="390">
        <v>1</v>
      </c>
      <c r="H1053" s="389">
        <f t="shared" si="123"/>
        <v>25.84</v>
      </c>
      <c r="I1053" s="481"/>
      <c r="J1053" s="399"/>
      <c r="K1053" s="399" t="s">
        <v>3</v>
      </c>
      <c r="L1053" s="483">
        <f t="shared" si="124"/>
        <v>25.84</v>
      </c>
    </row>
    <row r="1054" spans="2:12" ht="14.4" x14ac:dyDescent="0.25">
      <c r="B1054" s="217" t="s">
        <v>495</v>
      </c>
      <c r="C1054" s="398"/>
      <c r="D1054" s="483">
        <v>2.6</v>
      </c>
      <c r="E1054" s="389"/>
      <c r="F1054" s="389">
        <v>3.4</v>
      </c>
      <c r="G1054" s="390">
        <v>1</v>
      </c>
      <c r="H1054" s="389">
        <f t="shared" si="123"/>
        <v>8.84</v>
      </c>
      <c r="I1054" s="481"/>
      <c r="J1054" s="399"/>
      <c r="K1054" s="399" t="s">
        <v>3</v>
      </c>
      <c r="L1054" s="483">
        <f t="shared" si="124"/>
        <v>8.84</v>
      </c>
    </row>
    <row r="1055" spans="2:12" ht="14.4" x14ac:dyDescent="0.25">
      <c r="B1055" s="217" t="s">
        <v>496</v>
      </c>
      <c r="C1055" s="398"/>
      <c r="D1055" s="483">
        <v>0.25</v>
      </c>
      <c r="E1055" s="389"/>
      <c r="F1055" s="389">
        <v>3.4</v>
      </c>
      <c r="G1055" s="390">
        <v>2</v>
      </c>
      <c r="H1055" s="389">
        <f t="shared" si="123"/>
        <v>1.7</v>
      </c>
      <c r="I1055" s="481"/>
      <c r="J1055" s="399"/>
      <c r="K1055" s="399" t="s">
        <v>3</v>
      </c>
      <c r="L1055" s="483">
        <f t="shared" si="124"/>
        <v>1.7</v>
      </c>
    </row>
    <row r="1056" spans="2:12" ht="14.4" x14ac:dyDescent="0.25">
      <c r="B1056" s="21" t="s">
        <v>563</v>
      </c>
      <c r="C1056" s="12"/>
      <c r="D1056" s="35">
        <f>SUM(D1048:D1055)</f>
        <v>31.240000000000002</v>
      </c>
      <c r="E1056" s="459"/>
      <c r="F1056" s="10"/>
      <c r="G1056" s="22"/>
      <c r="H1056" s="19"/>
      <c r="I1056" s="19"/>
      <c r="J1056" s="19"/>
      <c r="K1056" s="23" t="s">
        <v>3</v>
      </c>
      <c r="L1056" s="13">
        <f>SUM(L1048:L1055)</f>
        <v>108.59600000000002</v>
      </c>
    </row>
    <row r="1057" spans="2:13" ht="14.4" x14ac:dyDescent="0.3">
      <c r="B1057" s="20" t="s">
        <v>723</v>
      </c>
      <c r="C1057" s="381"/>
      <c r="D1057" s="382"/>
      <c r="E1057" s="382"/>
      <c r="F1057" s="382"/>
      <c r="G1057" s="381"/>
      <c r="H1057" s="383"/>
      <c r="I1057" s="384"/>
      <c r="J1057" s="383"/>
      <c r="K1057" s="383"/>
      <c r="L1057" s="7"/>
    </row>
    <row r="1058" spans="2:13" ht="14.4" x14ac:dyDescent="0.25">
      <c r="B1058" s="217" t="s">
        <v>498</v>
      </c>
      <c r="C1058" s="398"/>
      <c r="D1058" s="483">
        <v>2.78</v>
      </c>
      <c r="E1058" s="389"/>
      <c r="F1058" s="389">
        <v>3.4</v>
      </c>
      <c r="G1058" s="390">
        <v>2</v>
      </c>
      <c r="H1058" s="389">
        <f t="shared" ref="H1058:H1059" si="125">D1058*F1058*G1058-I1058</f>
        <v>18.904</v>
      </c>
      <c r="I1058" s="481"/>
      <c r="J1058" s="399"/>
      <c r="K1058" s="399" t="s">
        <v>3</v>
      </c>
      <c r="L1058" s="483">
        <f t="shared" ref="L1058:L1059" si="126">H1058</f>
        <v>18.904</v>
      </c>
    </row>
    <row r="1059" spans="2:13" ht="14.4" x14ac:dyDescent="0.25">
      <c r="B1059" s="217" t="s">
        <v>499</v>
      </c>
      <c r="C1059" s="398"/>
      <c r="D1059" s="483">
        <v>3.79</v>
      </c>
      <c r="E1059" s="389"/>
      <c r="F1059" s="389">
        <v>3.4</v>
      </c>
      <c r="G1059" s="390">
        <v>2</v>
      </c>
      <c r="H1059" s="389">
        <f t="shared" si="125"/>
        <v>25.771999999999998</v>
      </c>
      <c r="I1059" s="481"/>
      <c r="J1059" s="399"/>
      <c r="K1059" s="399" t="s">
        <v>3</v>
      </c>
      <c r="L1059" s="483">
        <f t="shared" si="126"/>
        <v>25.771999999999998</v>
      </c>
    </row>
    <row r="1060" spans="2:13" ht="14.4" x14ac:dyDescent="0.25">
      <c r="B1060" s="21" t="s">
        <v>684</v>
      </c>
      <c r="C1060" s="12"/>
      <c r="D1060" s="35">
        <f>SUM(D1058:D1059)</f>
        <v>6.57</v>
      </c>
      <c r="E1060" s="459"/>
      <c r="F1060" s="10"/>
      <c r="G1060" s="22"/>
      <c r="H1060" s="19"/>
      <c r="I1060" s="19"/>
      <c r="J1060" s="19"/>
      <c r="K1060" s="23" t="s">
        <v>3</v>
      </c>
      <c r="L1060" s="13">
        <f>SUM(L1058:L1059)</f>
        <v>44.676000000000002</v>
      </c>
    </row>
    <row r="1061" spans="2:13" ht="14.4" x14ac:dyDescent="0.3">
      <c r="B1061" s="24" t="s">
        <v>687</v>
      </c>
      <c r="C1061" s="114"/>
      <c r="D1061" s="115"/>
      <c r="E1061" s="115"/>
      <c r="F1061" s="115"/>
      <c r="G1061" s="114"/>
      <c r="H1061" s="116"/>
      <c r="I1061" s="117"/>
      <c r="J1061" s="116"/>
      <c r="K1061" s="116"/>
      <c r="L1061" s="118"/>
    </row>
    <row r="1062" spans="2:13" ht="14.4" x14ac:dyDescent="0.25">
      <c r="B1062" s="217" t="s">
        <v>53</v>
      </c>
      <c r="C1062" s="398"/>
      <c r="D1062" s="483">
        <v>30.22</v>
      </c>
      <c r="E1062" s="389"/>
      <c r="F1062" s="389">
        <v>3.4</v>
      </c>
      <c r="G1062" s="390">
        <v>1</v>
      </c>
      <c r="H1062" s="389">
        <f t="shared" ref="H1062:H1068" si="127">D1062*F1062*G1062-I1062</f>
        <v>102.74799999999999</v>
      </c>
      <c r="I1062" s="481"/>
      <c r="J1062" s="399"/>
      <c r="K1062" s="399" t="s">
        <v>3</v>
      </c>
      <c r="L1062" s="483">
        <f t="shared" ref="L1062:L1068" si="128">H1062</f>
        <v>102.74799999999999</v>
      </c>
    </row>
    <row r="1063" spans="2:13" ht="14.4" x14ac:dyDescent="0.25">
      <c r="B1063" s="217" t="s">
        <v>475</v>
      </c>
      <c r="C1063" s="398"/>
      <c r="D1063" s="483">
        <v>10.73</v>
      </c>
      <c r="E1063" s="389"/>
      <c r="F1063" s="389">
        <v>3.4</v>
      </c>
      <c r="G1063" s="390">
        <v>1</v>
      </c>
      <c r="H1063" s="389">
        <f t="shared" si="127"/>
        <v>36.481999999999999</v>
      </c>
      <c r="I1063" s="481"/>
      <c r="J1063" s="399"/>
      <c r="K1063" s="399" t="s">
        <v>3</v>
      </c>
      <c r="L1063" s="483">
        <f t="shared" si="128"/>
        <v>36.481999999999999</v>
      </c>
    </row>
    <row r="1064" spans="2:13" ht="14.4" x14ac:dyDescent="0.25">
      <c r="B1064" s="217" t="s">
        <v>476</v>
      </c>
      <c r="C1064" s="398"/>
      <c r="D1064" s="483">
        <v>3.14</v>
      </c>
      <c r="E1064" s="389"/>
      <c r="F1064" s="389">
        <v>3.4</v>
      </c>
      <c r="G1064" s="390">
        <v>1</v>
      </c>
      <c r="H1064" s="389">
        <f t="shared" si="127"/>
        <v>10.676</v>
      </c>
      <c r="I1064" s="481"/>
      <c r="J1064" s="399"/>
      <c r="K1064" s="399" t="s">
        <v>3</v>
      </c>
      <c r="L1064" s="483">
        <f t="shared" si="128"/>
        <v>10.676</v>
      </c>
    </row>
    <row r="1065" spans="2:13" ht="14.4" x14ac:dyDescent="0.25">
      <c r="B1065" s="217" t="s">
        <v>477</v>
      </c>
      <c r="C1065" s="398"/>
      <c r="D1065" s="483">
        <v>7.74</v>
      </c>
      <c r="E1065" s="389"/>
      <c r="F1065" s="389">
        <v>3.4</v>
      </c>
      <c r="G1065" s="390">
        <v>1</v>
      </c>
      <c r="H1065" s="389">
        <f t="shared" si="127"/>
        <v>26.315999999999999</v>
      </c>
      <c r="I1065" s="481"/>
      <c r="J1065" s="399"/>
      <c r="K1065" s="399" t="s">
        <v>3</v>
      </c>
      <c r="L1065" s="483">
        <f t="shared" si="128"/>
        <v>26.315999999999999</v>
      </c>
    </row>
    <row r="1066" spans="2:13" ht="14.4" x14ac:dyDescent="0.25">
      <c r="B1066" s="217" t="s">
        <v>478</v>
      </c>
      <c r="C1066" s="398"/>
      <c r="D1066" s="483">
        <v>2.06</v>
      </c>
      <c r="E1066" s="389"/>
      <c r="F1066" s="389">
        <v>3.4</v>
      </c>
      <c r="G1066" s="390">
        <v>1</v>
      </c>
      <c r="H1066" s="389">
        <f t="shared" si="127"/>
        <v>7.0039999999999996</v>
      </c>
      <c r="I1066" s="481"/>
      <c r="J1066" s="399"/>
      <c r="K1066" s="399" t="s">
        <v>3</v>
      </c>
      <c r="L1066" s="483">
        <f t="shared" si="128"/>
        <v>7.0039999999999996</v>
      </c>
    </row>
    <row r="1067" spans="2:13" ht="14.4" x14ac:dyDescent="0.25">
      <c r="B1067" s="217" t="s">
        <v>479</v>
      </c>
      <c r="C1067" s="398"/>
      <c r="D1067" s="483">
        <v>2.04</v>
      </c>
      <c r="E1067" s="389"/>
      <c r="F1067" s="515">
        <v>2</v>
      </c>
      <c r="G1067" s="390">
        <v>1</v>
      </c>
      <c r="H1067" s="389">
        <f t="shared" si="127"/>
        <v>4.08</v>
      </c>
      <c r="I1067" s="481"/>
      <c r="J1067" s="399"/>
      <c r="K1067" s="399" t="s">
        <v>3</v>
      </c>
      <c r="L1067" s="483">
        <f t="shared" si="128"/>
        <v>4.08</v>
      </c>
      <c r="M1067" s="516" t="s">
        <v>649</v>
      </c>
    </row>
    <row r="1068" spans="2:13" ht="14.4" x14ac:dyDescent="0.25">
      <c r="B1068" s="217" t="s">
        <v>480</v>
      </c>
      <c r="C1068" s="398"/>
      <c r="D1068" s="483">
        <v>14.21</v>
      </c>
      <c r="E1068" s="389"/>
      <c r="F1068" s="389">
        <v>3.4</v>
      </c>
      <c r="G1068" s="390">
        <v>1</v>
      </c>
      <c r="H1068" s="389">
        <f t="shared" si="127"/>
        <v>48.314</v>
      </c>
      <c r="I1068" s="481"/>
      <c r="J1068" s="399"/>
      <c r="K1068" s="399" t="s">
        <v>3</v>
      </c>
      <c r="L1068" s="483">
        <f t="shared" si="128"/>
        <v>48.314</v>
      </c>
    </row>
    <row r="1069" spans="2:13" ht="14.4" x14ac:dyDescent="0.25">
      <c r="B1069" s="217" t="s">
        <v>481</v>
      </c>
      <c r="C1069" s="398"/>
      <c r="D1069" s="483">
        <v>13.47</v>
      </c>
      <c r="E1069" s="389"/>
      <c r="F1069" s="389">
        <v>0.91</v>
      </c>
      <c r="G1069" s="390">
        <v>1</v>
      </c>
      <c r="H1069" s="389">
        <f t="shared" ref="H1069:H1077" si="129">D1069*F1069*G1069-I1069</f>
        <v>12.257700000000002</v>
      </c>
      <c r="I1069" s="481"/>
      <c r="J1069" s="399"/>
      <c r="K1069" s="399" t="s">
        <v>3</v>
      </c>
      <c r="L1069" s="483">
        <f t="shared" ref="L1069:L1077" si="130">H1069</f>
        <v>12.257700000000002</v>
      </c>
    </row>
    <row r="1070" spans="2:13" ht="14.4" x14ac:dyDescent="0.25">
      <c r="B1070" s="217" t="s">
        <v>482</v>
      </c>
      <c r="C1070" s="398"/>
      <c r="D1070" s="483">
        <v>43.6</v>
      </c>
      <c r="E1070" s="389"/>
      <c r="F1070" s="389">
        <v>0.91</v>
      </c>
      <c r="G1070" s="390">
        <v>1</v>
      </c>
      <c r="H1070" s="389">
        <f t="shared" si="129"/>
        <v>39.676000000000002</v>
      </c>
      <c r="I1070" s="481"/>
      <c r="J1070" s="399"/>
      <c r="K1070" s="399" t="s">
        <v>3</v>
      </c>
      <c r="L1070" s="483">
        <f t="shared" si="130"/>
        <v>39.676000000000002</v>
      </c>
    </row>
    <row r="1071" spans="2:13" ht="14.4" x14ac:dyDescent="0.25">
      <c r="B1071" s="217" t="s">
        <v>483</v>
      </c>
      <c r="C1071" s="398"/>
      <c r="D1071" s="483">
        <v>21.3</v>
      </c>
      <c r="E1071" s="389"/>
      <c r="F1071" s="389">
        <v>0.91</v>
      </c>
      <c r="G1071" s="390">
        <v>1</v>
      </c>
      <c r="H1071" s="389">
        <f t="shared" si="129"/>
        <v>19.383000000000003</v>
      </c>
      <c r="I1071" s="481"/>
      <c r="J1071" s="399"/>
      <c r="K1071" s="399" t="s">
        <v>3</v>
      </c>
      <c r="L1071" s="483">
        <f t="shared" si="130"/>
        <v>19.383000000000003</v>
      </c>
    </row>
    <row r="1072" spans="2:13" ht="14.4" x14ac:dyDescent="0.25">
      <c r="B1072" s="217" t="s">
        <v>484</v>
      </c>
      <c r="C1072" s="398"/>
      <c r="D1072" s="483">
        <v>9.11</v>
      </c>
      <c r="E1072" s="389"/>
      <c r="F1072" s="389">
        <v>0.91</v>
      </c>
      <c r="G1072" s="390">
        <v>1</v>
      </c>
      <c r="H1072" s="389">
        <f t="shared" si="129"/>
        <v>8.2900999999999989</v>
      </c>
      <c r="I1072" s="481"/>
      <c r="J1072" s="399"/>
      <c r="K1072" s="399" t="s">
        <v>3</v>
      </c>
      <c r="L1072" s="483">
        <f t="shared" si="130"/>
        <v>8.2900999999999989</v>
      </c>
    </row>
    <row r="1073" spans="2:12" ht="14.4" x14ac:dyDescent="0.25">
      <c r="B1073" s="217" t="s">
        <v>489</v>
      </c>
      <c r="C1073" s="398"/>
      <c r="D1073" s="483">
        <v>4.6500000000000004</v>
      </c>
      <c r="E1073" s="389"/>
      <c r="F1073" s="389">
        <v>3.4</v>
      </c>
      <c r="G1073" s="390">
        <v>1</v>
      </c>
      <c r="H1073" s="389">
        <f t="shared" si="129"/>
        <v>15.81</v>
      </c>
      <c r="I1073" s="481"/>
      <c r="J1073" s="399"/>
      <c r="K1073" s="399" t="s">
        <v>3</v>
      </c>
      <c r="L1073" s="483">
        <f t="shared" si="130"/>
        <v>15.81</v>
      </c>
    </row>
    <row r="1074" spans="2:12" ht="14.4" x14ac:dyDescent="0.25">
      <c r="B1074" s="217" t="s">
        <v>492</v>
      </c>
      <c r="C1074" s="398"/>
      <c r="D1074" s="483">
        <v>2.4</v>
      </c>
      <c r="E1074" s="389"/>
      <c r="F1074" s="389">
        <v>3.4</v>
      </c>
      <c r="G1074" s="390">
        <v>1</v>
      </c>
      <c r="H1074" s="389">
        <f t="shared" si="129"/>
        <v>8.16</v>
      </c>
      <c r="I1074" s="481"/>
      <c r="J1074" s="399"/>
      <c r="K1074" s="399" t="s">
        <v>3</v>
      </c>
      <c r="L1074" s="483">
        <f t="shared" si="130"/>
        <v>8.16</v>
      </c>
    </row>
    <row r="1075" spans="2:12" ht="14.4" x14ac:dyDescent="0.25">
      <c r="B1075" s="217" t="s">
        <v>493</v>
      </c>
      <c r="C1075" s="398"/>
      <c r="D1075" s="483">
        <v>2.75</v>
      </c>
      <c r="E1075" s="389"/>
      <c r="F1075" s="389">
        <v>3.4</v>
      </c>
      <c r="G1075" s="390">
        <v>1</v>
      </c>
      <c r="H1075" s="389">
        <f t="shared" si="129"/>
        <v>9.35</v>
      </c>
      <c r="I1075" s="481"/>
      <c r="J1075" s="399"/>
      <c r="K1075" s="399" t="s">
        <v>3</v>
      </c>
      <c r="L1075" s="483">
        <f t="shared" si="130"/>
        <v>9.35</v>
      </c>
    </row>
    <row r="1076" spans="2:12" ht="14.4" x14ac:dyDescent="0.25">
      <c r="B1076" s="217" t="s">
        <v>494</v>
      </c>
      <c r="C1076" s="398"/>
      <c r="D1076" s="483">
        <v>2.77</v>
      </c>
      <c r="E1076" s="389"/>
      <c r="F1076" s="389">
        <v>3.4</v>
      </c>
      <c r="G1076" s="390">
        <v>1</v>
      </c>
      <c r="H1076" s="389">
        <f t="shared" si="129"/>
        <v>9.4179999999999993</v>
      </c>
      <c r="I1076" s="481"/>
      <c r="J1076" s="399"/>
      <c r="K1076" s="399" t="s">
        <v>3</v>
      </c>
      <c r="L1076" s="483">
        <f t="shared" si="130"/>
        <v>9.4179999999999993</v>
      </c>
    </row>
    <row r="1077" spans="2:12" ht="14.4" x14ac:dyDescent="0.25">
      <c r="B1077" s="217" t="s">
        <v>497</v>
      </c>
      <c r="C1077" s="398"/>
      <c r="D1077" s="483">
        <v>2.74</v>
      </c>
      <c r="E1077" s="389"/>
      <c r="F1077" s="389">
        <v>3.4</v>
      </c>
      <c r="G1077" s="390">
        <v>1</v>
      </c>
      <c r="H1077" s="389">
        <f t="shared" si="129"/>
        <v>9.3160000000000007</v>
      </c>
      <c r="I1077" s="481"/>
      <c r="J1077" s="399"/>
      <c r="K1077" s="399" t="s">
        <v>3</v>
      </c>
      <c r="L1077" s="483">
        <f t="shared" si="130"/>
        <v>9.3160000000000007</v>
      </c>
    </row>
    <row r="1078" spans="2:12" ht="14.4" x14ac:dyDescent="0.25">
      <c r="B1078" s="21" t="s">
        <v>564</v>
      </c>
      <c r="C1078" s="12"/>
      <c r="D1078" s="35">
        <f>SUM(D1062:D1077)</f>
        <v>172.93000000000004</v>
      </c>
      <c r="E1078" s="459"/>
      <c r="F1078" s="10"/>
      <c r="G1078" s="22"/>
      <c r="H1078" s="19"/>
      <c r="I1078" s="19"/>
      <c r="J1078" s="19"/>
      <c r="K1078" s="23" t="s">
        <v>3</v>
      </c>
      <c r="L1078" s="13">
        <f>SUM(L1062:L1077)</f>
        <v>367.2808</v>
      </c>
    </row>
    <row r="1079" spans="2:12" ht="15.6" x14ac:dyDescent="0.25">
      <c r="B1079" s="539" t="s">
        <v>644</v>
      </c>
      <c r="C1079" s="540"/>
      <c r="D1079" s="541"/>
      <c r="E1079" s="541"/>
      <c r="F1079" s="541"/>
      <c r="G1079" s="540"/>
      <c r="H1079" s="542"/>
      <c r="I1079" s="543"/>
      <c r="J1079" s="542"/>
      <c r="K1079" s="542"/>
      <c r="L1079" s="544"/>
    </row>
    <row r="1080" spans="2:12" ht="15.6" x14ac:dyDescent="0.25">
      <c r="B1080" s="59" t="s">
        <v>625</v>
      </c>
      <c r="C1080" s="119"/>
      <c r="D1080" s="120"/>
      <c r="E1080" s="119"/>
      <c r="F1080" s="121"/>
      <c r="G1080" s="122"/>
      <c r="H1080" s="123"/>
      <c r="I1080" s="123"/>
      <c r="J1080" s="123"/>
      <c r="K1080" s="124"/>
      <c r="L1080" s="125"/>
    </row>
    <row r="1081" spans="2:12" ht="14.4" x14ac:dyDescent="0.25">
      <c r="B1081" s="822" t="s">
        <v>1</v>
      </c>
      <c r="C1081" s="55" t="s">
        <v>0</v>
      </c>
      <c r="D1081" s="52" t="s">
        <v>12</v>
      </c>
      <c r="E1081" s="52" t="s">
        <v>4</v>
      </c>
      <c r="F1081" s="52" t="s">
        <v>2</v>
      </c>
      <c r="G1081" s="52" t="s">
        <v>6</v>
      </c>
      <c r="H1081" s="148" t="s">
        <v>5</v>
      </c>
      <c r="I1081" s="56" t="s">
        <v>13</v>
      </c>
      <c r="J1081" s="148" t="s">
        <v>14</v>
      </c>
      <c r="K1081" s="822" t="s">
        <v>7</v>
      </c>
      <c r="L1081" s="824" t="s">
        <v>8</v>
      </c>
    </row>
    <row r="1082" spans="2:12" ht="14.4" x14ac:dyDescent="0.3">
      <c r="B1082" s="823"/>
      <c r="C1082" s="80" t="s">
        <v>9</v>
      </c>
      <c r="D1082" s="81" t="s">
        <v>10</v>
      </c>
      <c r="E1082" s="81" t="s">
        <v>10</v>
      </c>
      <c r="F1082" s="81" t="s">
        <v>10</v>
      </c>
      <c r="G1082" s="80" t="s">
        <v>9</v>
      </c>
      <c r="H1082" s="82" t="s">
        <v>11</v>
      </c>
      <c r="I1082" s="113" t="s">
        <v>11</v>
      </c>
      <c r="J1082" s="82" t="s">
        <v>15</v>
      </c>
      <c r="K1082" s="823"/>
      <c r="L1082" s="825"/>
    </row>
    <row r="1083" spans="2:12" ht="14.4" x14ac:dyDescent="0.3">
      <c r="B1083" s="20" t="s">
        <v>694</v>
      </c>
      <c r="C1083" s="381"/>
      <c r="D1083" s="382"/>
      <c r="E1083" s="382"/>
      <c r="F1083" s="382"/>
      <c r="G1083" s="381"/>
      <c r="H1083" s="383"/>
      <c r="I1083" s="384"/>
      <c r="J1083" s="383"/>
      <c r="K1083" s="383"/>
      <c r="L1083" s="7"/>
    </row>
    <row r="1084" spans="2:12" ht="14.4" x14ac:dyDescent="0.25">
      <c r="B1084" s="217" t="s">
        <v>53</v>
      </c>
      <c r="C1084" s="398"/>
      <c r="D1084" s="483">
        <v>2.27</v>
      </c>
      <c r="E1084" s="389"/>
      <c r="F1084" s="389">
        <v>2.7</v>
      </c>
      <c r="G1084" s="390">
        <v>1</v>
      </c>
      <c r="H1084" s="483">
        <f t="shared" ref="H1084" si="131">D1084*F1084*G1084-I1084</f>
        <v>6.1290000000000004</v>
      </c>
      <c r="I1084" s="481"/>
      <c r="J1084" s="399"/>
      <c r="K1084" s="399" t="s">
        <v>3</v>
      </c>
      <c r="L1084" s="483">
        <f t="shared" ref="L1084" si="132">H1084</f>
        <v>6.1290000000000004</v>
      </c>
    </row>
    <row r="1085" spans="2:12" ht="14.4" x14ac:dyDescent="0.25">
      <c r="B1085" s="217"/>
      <c r="C1085" s="398"/>
      <c r="D1085" s="483"/>
      <c r="E1085" s="389"/>
      <c r="F1085" s="389"/>
      <c r="G1085" s="390"/>
      <c r="H1085" s="483"/>
      <c r="I1085" s="481"/>
      <c r="J1085" s="399"/>
      <c r="K1085" s="399"/>
      <c r="L1085" s="483"/>
    </row>
    <row r="1086" spans="2:12" ht="14.4" x14ac:dyDescent="0.25">
      <c r="B1086" s="21" t="s">
        <v>563</v>
      </c>
      <c r="C1086" s="12"/>
      <c r="D1086" s="35">
        <f>SUM(D1084:D1085)</f>
        <v>2.27</v>
      </c>
      <c r="E1086" s="459"/>
      <c r="F1086" s="10"/>
      <c r="G1086" s="22"/>
      <c r="H1086" s="596"/>
      <c r="I1086" s="19"/>
      <c r="J1086" s="19"/>
      <c r="K1086" s="23" t="s">
        <v>3</v>
      </c>
      <c r="L1086" s="13">
        <f>SUM(L1084:L1085)</f>
        <v>6.1290000000000004</v>
      </c>
    </row>
    <row r="1087" spans="2:12" ht="14.4" x14ac:dyDescent="0.3">
      <c r="B1087" s="24" t="s">
        <v>702</v>
      </c>
      <c r="C1087" s="114"/>
      <c r="D1087" s="115"/>
      <c r="E1087" s="115"/>
      <c r="F1087" s="115"/>
      <c r="G1087" s="114"/>
      <c r="H1087" s="597"/>
      <c r="I1087" s="117"/>
      <c r="J1087" s="116"/>
      <c r="K1087" s="116"/>
      <c r="L1087" s="118"/>
    </row>
    <row r="1088" spans="2:12" ht="14.4" x14ac:dyDescent="0.25">
      <c r="B1088" s="217" t="s">
        <v>477</v>
      </c>
      <c r="C1088" s="398"/>
      <c r="D1088" s="389">
        <v>2.89</v>
      </c>
      <c r="E1088" s="389"/>
      <c r="F1088" s="389">
        <v>2.7</v>
      </c>
      <c r="G1088" s="390">
        <v>2</v>
      </c>
      <c r="H1088" s="483">
        <f t="shared" ref="H1088:H1091" si="133">D1088*F1088*G1088-I1088</f>
        <v>15.606000000000002</v>
      </c>
      <c r="I1088" s="481"/>
      <c r="J1088" s="399"/>
      <c r="K1088" s="399" t="s">
        <v>3</v>
      </c>
      <c r="L1088" s="483">
        <f>H1088</f>
        <v>15.606000000000002</v>
      </c>
    </row>
    <row r="1089" spans="2:12" ht="14.4" x14ac:dyDescent="0.25">
      <c r="B1089" s="217" t="s">
        <v>478</v>
      </c>
      <c r="C1089" s="398"/>
      <c r="D1089" s="389">
        <v>2.99</v>
      </c>
      <c r="E1089" s="389"/>
      <c r="F1089" s="389">
        <v>2.7</v>
      </c>
      <c r="G1089" s="390">
        <v>2</v>
      </c>
      <c r="H1089" s="483">
        <f t="shared" si="133"/>
        <v>16.146000000000001</v>
      </c>
      <c r="I1089" s="481"/>
      <c r="J1089" s="399"/>
      <c r="K1089" s="399" t="s">
        <v>3</v>
      </c>
      <c r="L1089" s="483">
        <f t="shared" ref="L1089:L1091" si="134">H1089</f>
        <v>16.146000000000001</v>
      </c>
    </row>
    <row r="1090" spans="2:12" ht="14.4" x14ac:dyDescent="0.25">
      <c r="B1090" s="217" t="s">
        <v>479</v>
      </c>
      <c r="C1090" s="398"/>
      <c r="D1090" s="389">
        <v>5.07</v>
      </c>
      <c r="E1090" s="389"/>
      <c r="F1090" s="389">
        <v>2.7</v>
      </c>
      <c r="G1090" s="390">
        <v>2</v>
      </c>
      <c r="H1090" s="483">
        <f t="shared" si="133"/>
        <v>27.378000000000004</v>
      </c>
      <c r="I1090" s="481"/>
      <c r="J1090" s="399"/>
      <c r="K1090" s="399" t="s">
        <v>3</v>
      </c>
      <c r="L1090" s="483">
        <f t="shared" si="134"/>
        <v>27.378000000000004</v>
      </c>
    </row>
    <row r="1091" spans="2:12" ht="14.4" x14ac:dyDescent="0.25">
      <c r="B1091" s="217" t="s">
        <v>483</v>
      </c>
      <c r="C1091" s="398"/>
      <c r="D1091" s="389">
        <v>8.2899999999999991</v>
      </c>
      <c r="E1091" s="389"/>
      <c r="F1091" s="389">
        <v>2.7</v>
      </c>
      <c r="G1091" s="390">
        <v>2</v>
      </c>
      <c r="H1091" s="483">
        <f t="shared" si="133"/>
        <v>44.765999999999998</v>
      </c>
      <c r="I1091" s="481"/>
      <c r="J1091" s="399"/>
      <c r="K1091" s="399" t="s">
        <v>3</v>
      </c>
      <c r="L1091" s="483">
        <f t="shared" si="134"/>
        <v>44.765999999999998</v>
      </c>
    </row>
    <row r="1092" spans="2:12" ht="14.4" x14ac:dyDescent="0.25">
      <c r="B1092" s="21" t="s">
        <v>684</v>
      </c>
      <c r="C1092" s="12"/>
      <c r="D1092" s="35">
        <f>SUM(D1088:D1091)</f>
        <v>19.240000000000002</v>
      </c>
      <c r="E1092" s="459"/>
      <c r="F1092" s="10"/>
      <c r="G1092" s="22"/>
      <c r="H1092" s="596"/>
      <c r="I1092" s="19"/>
      <c r="J1092" s="19"/>
      <c r="K1092" s="23" t="s">
        <v>3</v>
      </c>
      <c r="L1092" s="13">
        <f>SUM(L1088:L1091)</f>
        <v>103.89600000000002</v>
      </c>
    </row>
    <row r="1093" spans="2:12" ht="14.4" x14ac:dyDescent="0.3">
      <c r="B1093" s="20" t="s">
        <v>697</v>
      </c>
      <c r="C1093" s="114"/>
      <c r="D1093" s="115"/>
      <c r="E1093" s="115"/>
      <c r="F1093" s="115"/>
      <c r="G1093" s="114"/>
      <c r="H1093" s="597"/>
      <c r="I1093" s="117"/>
      <c r="J1093" s="116"/>
      <c r="K1093" s="116"/>
      <c r="L1093" s="118"/>
    </row>
    <row r="1094" spans="2:12" ht="14.4" x14ac:dyDescent="0.25">
      <c r="B1094" s="217" t="s">
        <v>475</v>
      </c>
      <c r="C1094" s="398"/>
      <c r="D1094" s="483">
        <v>5.73</v>
      </c>
      <c r="E1094" s="389"/>
      <c r="F1094" s="528">
        <v>2.7</v>
      </c>
      <c r="G1094" s="390">
        <v>1</v>
      </c>
      <c r="H1094" s="483">
        <f t="shared" ref="H1094:H1098" si="135">D1094*F1094*G1094-I1094</f>
        <v>15.471000000000002</v>
      </c>
      <c r="I1094" s="481"/>
      <c r="J1094" s="399"/>
      <c r="K1094" s="399" t="s">
        <v>3</v>
      </c>
      <c r="L1094" s="483">
        <f t="shared" ref="L1094:L1098" si="136">H1094</f>
        <v>15.471000000000002</v>
      </c>
    </row>
    <row r="1095" spans="2:12" ht="14.4" x14ac:dyDescent="0.25">
      <c r="B1095" s="217" t="s">
        <v>476</v>
      </c>
      <c r="C1095" s="398"/>
      <c r="D1095" s="483">
        <v>3.25</v>
      </c>
      <c r="E1095" s="389"/>
      <c r="F1095" s="528">
        <v>2.7</v>
      </c>
      <c r="G1095" s="390">
        <v>1</v>
      </c>
      <c r="H1095" s="483">
        <f t="shared" si="135"/>
        <v>8.7750000000000004</v>
      </c>
      <c r="I1095" s="481"/>
      <c r="J1095" s="399"/>
      <c r="K1095" s="399" t="s">
        <v>3</v>
      </c>
      <c r="L1095" s="483">
        <f t="shared" si="136"/>
        <v>8.7750000000000004</v>
      </c>
    </row>
    <row r="1096" spans="2:12" ht="14.4" x14ac:dyDescent="0.25">
      <c r="B1096" s="217" t="s">
        <v>480</v>
      </c>
      <c r="C1096" s="398"/>
      <c r="D1096" s="483">
        <v>4.7300000000000004</v>
      </c>
      <c r="E1096" s="389"/>
      <c r="F1096" s="528">
        <v>2.7</v>
      </c>
      <c r="G1096" s="390">
        <v>1</v>
      </c>
      <c r="H1096" s="483">
        <f t="shared" si="135"/>
        <v>12.771000000000003</v>
      </c>
      <c r="I1096" s="481"/>
      <c r="J1096" s="399"/>
      <c r="K1096" s="399" t="s">
        <v>3</v>
      </c>
      <c r="L1096" s="483">
        <f t="shared" si="136"/>
        <v>12.771000000000003</v>
      </c>
    </row>
    <row r="1097" spans="2:12" ht="14.4" x14ac:dyDescent="0.25">
      <c r="B1097" s="217" t="s">
        <v>481</v>
      </c>
      <c r="C1097" s="398"/>
      <c r="D1097" s="483">
        <v>2.76</v>
      </c>
      <c r="E1097" s="389"/>
      <c r="F1097" s="528">
        <v>2.7</v>
      </c>
      <c r="G1097" s="390">
        <v>1</v>
      </c>
      <c r="H1097" s="483">
        <f t="shared" si="135"/>
        <v>7.452</v>
      </c>
      <c r="I1097" s="481"/>
      <c r="J1097" s="399"/>
      <c r="K1097" s="399" t="s">
        <v>3</v>
      </c>
      <c r="L1097" s="483">
        <f t="shared" si="136"/>
        <v>7.452</v>
      </c>
    </row>
    <row r="1098" spans="2:12" ht="14.4" x14ac:dyDescent="0.25">
      <c r="B1098" s="217" t="s">
        <v>482</v>
      </c>
      <c r="C1098" s="398"/>
      <c r="D1098" s="483">
        <v>8.1300000000000008</v>
      </c>
      <c r="E1098" s="389"/>
      <c r="F1098" s="528">
        <v>2.7</v>
      </c>
      <c r="G1098" s="390">
        <v>1</v>
      </c>
      <c r="H1098" s="483">
        <f t="shared" si="135"/>
        <v>21.951000000000004</v>
      </c>
      <c r="I1098" s="481"/>
      <c r="J1098" s="399"/>
      <c r="K1098" s="399" t="s">
        <v>3</v>
      </c>
      <c r="L1098" s="483">
        <f t="shared" si="136"/>
        <v>21.951000000000004</v>
      </c>
    </row>
    <row r="1099" spans="2:12" ht="14.4" x14ac:dyDescent="0.25">
      <c r="B1099" s="21" t="s">
        <v>564</v>
      </c>
      <c r="C1099" s="12"/>
      <c r="D1099" s="35">
        <f>SUM(D1094:D1098)</f>
        <v>24.6</v>
      </c>
      <c r="E1099" s="459"/>
      <c r="F1099" s="10"/>
      <c r="G1099" s="22"/>
      <c r="H1099" s="19"/>
      <c r="I1099" s="19"/>
      <c r="J1099" s="19"/>
      <c r="K1099" s="23" t="s">
        <v>3</v>
      </c>
      <c r="L1099" s="13">
        <f>SUM(L1094:L1098)</f>
        <v>66.42</v>
      </c>
    </row>
    <row r="1100" spans="2:12" ht="15.6" x14ac:dyDescent="0.25">
      <c r="B1100" s="545" t="s">
        <v>645</v>
      </c>
      <c r="C1100" s="546"/>
      <c r="D1100" s="547"/>
      <c r="E1100" s="547"/>
      <c r="F1100" s="547"/>
      <c r="G1100" s="546"/>
      <c r="H1100" s="548"/>
      <c r="I1100" s="549"/>
      <c r="J1100" s="548"/>
      <c r="K1100" s="548"/>
      <c r="L1100" s="550"/>
    </row>
    <row r="1101" spans="2:12" ht="15.6" x14ac:dyDescent="0.25">
      <c r="B1101" s="59" t="s">
        <v>625</v>
      </c>
      <c r="C1101" s="119"/>
      <c r="D1101" s="120"/>
      <c r="E1101" s="119"/>
      <c r="F1101" s="121"/>
      <c r="G1101" s="122"/>
      <c r="H1101" s="123"/>
      <c r="I1101" s="123"/>
      <c r="J1101" s="123"/>
      <c r="K1101" s="124"/>
      <c r="L1101" s="125"/>
    </row>
    <row r="1102" spans="2:12" ht="14.4" x14ac:dyDescent="0.25">
      <c r="B1102" s="822" t="s">
        <v>1</v>
      </c>
      <c r="C1102" s="55" t="s">
        <v>0</v>
      </c>
      <c r="D1102" s="52" t="s">
        <v>12</v>
      </c>
      <c r="E1102" s="52" t="s">
        <v>4</v>
      </c>
      <c r="F1102" s="52" t="s">
        <v>2</v>
      </c>
      <c r="G1102" s="52" t="s">
        <v>6</v>
      </c>
      <c r="H1102" s="148" t="s">
        <v>5</v>
      </c>
      <c r="I1102" s="56" t="s">
        <v>13</v>
      </c>
      <c r="J1102" s="148" t="s">
        <v>14</v>
      </c>
      <c r="K1102" s="822" t="s">
        <v>7</v>
      </c>
      <c r="L1102" s="824" t="s">
        <v>8</v>
      </c>
    </row>
    <row r="1103" spans="2:12" ht="14.4" x14ac:dyDescent="0.3">
      <c r="B1103" s="823"/>
      <c r="C1103" s="80" t="s">
        <v>9</v>
      </c>
      <c r="D1103" s="81" t="s">
        <v>10</v>
      </c>
      <c r="E1103" s="81" t="s">
        <v>10</v>
      </c>
      <c r="F1103" s="81" t="s">
        <v>10</v>
      </c>
      <c r="G1103" s="80" t="s">
        <v>9</v>
      </c>
      <c r="H1103" s="82" t="s">
        <v>11</v>
      </c>
      <c r="I1103" s="113" t="s">
        <v>11</v>
      </c>
      <c r="J1103" s="82" t="s">
        <v>15</v>
      </c>
      <c r="K1103" s="823"/>
      <c r="L1103" s="825"/>
    </row>
    <row r="1104" spans="2:12" ht="14.4" x14ac:dyDescent="0.3">
      <c r="B1104" s="20" t="s">
        <v>694</v>
      </c>
      <c r="C1104" s="381"/>
      <c r="D1104" s="382"/>
      <c r="E1104" s="382"/>
      <c r="F1104" s="382"/>
      <c r="G1104" s="381"/>
      <c r="H1104" s="383"/>
      <c r="I1104" s="384"/>
      <c r="J1104" s="383"/>
      <c r="K1104" s="383"/>
      <c r="L1104" s="7"/>
    </row>
    <row r="1105" spans="2:12" ht="14.4" x14ac:dyDescent="0.25">
      <c r="B1105" s="217" t="s">
        <v>676</v>
      </c>
      <c r="C1105" s="398"/>
      <c r="D1105" s="483">
        <v>8.27</v>
      </c>
      <c r="E1105" s="389"/>
      <c r="F1105" s="389">
        <v>4.5</v>
      </c>
      <c r="G1105" s="390">
        <v>2</v>
      </c>
      <c r="H1105" s="389">
        <f t="shared" ref="H1105:H1116" si="137">D1105*F1105*G1105-I1105</f>
        <v>74.429999999999993</v>
      </c>
      <c r="I1105" s="481"/>
      <c r="J1105" s="399"/>
      <c r="K1105" s="399" t="s">
        <v>3</v>
      </c>
      <c r="L1105" s="483">
        <f t="shared" ref="L1105:L1116" si="138">H1105</f>
        <v>74.429999999999993</v>
      </c>
    </row>
    <row r="1106" spans="2:12" ht="14.4" x14ac:dyDescent="0.25">
      <c r="B1106" s="217" t="s">
        <v>677</v>
      </c>
      <c r="C1106" s="398"/>
      <c r="D1106" s="483">
        <v>8.52</v>
      </c>
      <c r="E1106" s="389"/>
      <c r="F1106" s="389">
        <v>4.5</v>
      </c>
      <c r="G1106" s="390">
        <v>2</v>
      </c>
      <c r="H1106" s="389">
        <f t="shared" si="137"/>
        <v>76.679999999999993</v>
      </c>
      <c r="I1106" s="481"/>
      <c r="J1106" s="399"/>
      <c r="K1106" s="399" t="s">
        <v>3</v>
      </c>
      <c r="L1106" s="483">
        <f t="shared" si="138"/>
        <v>76.679999999999993</v>
      </c>
    </row>
    <row r="1107" spans="2:12" ht="14.4" x14ac:dyDescent="0.25">
      <c r="B1107" s="217" t="s">
        <v>476</v>
      </c>
      <c r="C1107" s="398"/>
      <c r="D1107" s="483">
        <v>1.8</v>
      </c>
      <c r="E1107" s="389"/>
      <c r="F1107" s="389">
        <v>3.27</v>
      </c>
      <c r="G1107" s="390">
        <v>2</v>
      </c>
      <c r="H1107" s="389">
        <f t="shared" si="137"/>
        <v>11.772</v>
      </c>
      <c r="I1107" s="481"/>
      <c r="J1107" s="399"/>
      <c r="K1107" s="399" t="s">
        <v>3</v>
      </c>
      <c r="L1107" s="483">
        <f t="shared" si="138"/>
        <v>11.772</v>
      </c>
    </row>
    <row r="1108" spans="2:12" ht="14.4" x14ac:dyDescent="0.25">
      <c r="B1108" s="217" t="s">
        <v>477</v>
      </c>
      <c r="C1108" s="398"/>
      <c r="D1108" s="483">
        <v>8.4700000000000006</v>
      </c>
      <c r="E1108" s="389"/>
      <c r="F1108" s="389">
        <v>3.27</v>
      </c>
      <c r="G1108" s="390">
        <v>1</v>
      </c>
      <c r="H1108" s="389">
        <f t="shared" si="137"/>
        <v>27.696900000000003</v>
      </c>
      <c r="I1108" s="481"/>
      <c r="J1108" s="399"/>
      <c r="K1108" s="399" t="s">
        <v>3</v>
      </c>
      <c r="L1108" s="483">
        <f t="shared" si="138"/>
        <v>27.696900000000003</v>
      </c>
    </row>
    <row r="1109" spans="2:12" ht="14.4" x14ac:dyDescent="0.25">
      <c r="B1109" s="217" t="s">
        <v>484</v>
      </c>
      <c r="C1109" s="398"/>
      <c r="D1109" s="483">
        <v>1</v>
      </c>
      <c r="E1109" s="389"/>
      <c r="F1109" s="389">
        <v>2.8</v>
      </c>
      <c r="G1109" s="390">
        <v>1</v>
      </c>
      <c r="H1109" s="389">
        <f t="shared" si="137"/>
        <v>2.8</v>
      </c>
      <c r="I1109" s="481"/>
      <c r="J1109" s="399"/>
      <c r="K1109" s="399" t="s">
        <v>3</v>
      </c>
      <c r="L1109" s="483">
        <f t="shared" si="138"/>
        <v>2.8</v>
      </c>
    </row>
    <row r="1110" spans="2:12" ht="14.4" x14ac:dyDescent="0.25">
      <c r="B1110" s="217" t="s">
        <v>485</v>
      </c>
      <c r="C1110" s="398"/>
      <c r="D1110" s="483">
        <v>0.5</v>
      </c>
      <c r="E1110" s="389"/>
      <c r="F1110" s="389">
        <v>2.8</v>
      </c>
      <c r="G1110" s="390">
        <v>1</v>
      </c>
      <c r="H1110" s="389">
        <f t="shared" si="137"/>
        <v>1.4</v>
      </c>
      <c r="I1110" s="481"/>
      <c r="J1110" s="399"/>
      <c r="K1110" s="399" t="s">
        <v>3</v>
      </c>
      <c r="L1110" s="483">
        <f t="shared" si="138"/>
        <v>1.4</v>
      </c>
    </row>
    <row r="1111" spans="2:12" ht="14.4" x14ac:dyDescent="0.25">
      <c r="B1111" s="217" t="s">
        <v>486</v>
      </c>
      <c r="C1111" s="398"/>
      <c r="D1111" s="483">
        <v>7.6</v>
      </c>
      <c r="E1111" s="389"/>
      <c r="F1111" s="389">
        <v>2.8</v>
      </c>
      <c r="G1111" s="390">
        <v>1</v>
      </c>
      <c r="H1111" s="389">
        <f t="shared" si="137"/>
        <v>21.279999999999998</v>
      </c>
      <c r="I1111" s="481"/>
      <c r="J1111" s="399"/>
      <c r="K1111" s="399" t="s">
        <v>3</v>
      </c>
      <c r="L1111" s="483">
        <f t="shared" si="138"/>
        <v>21.279999999999998</v>
      </c>
    </row>
    <row r="1112" spans="2:12" ht="14.4" x14ac:dyDescent="0.25">
      <c r="B1112" s="217" t="s">
        <v>487</v>
      </c>
      <c r="C1112" s="398"/>
      <c r="D1112" s="483">
        <v>0.45</v>
      </c>
      <c r="E1112" s="389"/>
      <c r="F1112" s="389">
        <v>2.8</v>
      </c>
      <c r="G1112" s="390">
        <v>1</v>
      </c>
      <c r="H1112" s="389">
        <f t="shared" si="137"/>
        <v>1.26</v>
      </c>
      <c r="I1112" s="481"/>
      <c r="J1112" s="399"/>
      <c r="K1112" s="399" t="s">
        <v>3</v>
      </c>
      <c r="L1112" s="483">
        <f t="shared" si="138"/>
        <v>1.26</v>
      </c>
    </row>
    <row r="1113" spans="2:12" ht="14.4" x14ac:dyDescent="0.25">
      <c r="B1113" s="217" t="s">
        <v>491</v>
      </c>
      <c r="C1113" s="398"/>
      <c r="D1113" s="483">
        <v>2.6</v>
      </c>
      <c r="E1113" s="389"/>
      <c r="F1113" s="389">
        <v>2.8</v>
      </c>
      <c r="G1113" s="390">
        <v>1</v>
      </c>
      <c r="H1113" s="389">
        <f t="shared" si="137"/>
        <v>7.2799999999999994</v>
      </c>
      <c r="I1113" s="481"/>
      <c r="J1113" s="399"/>
      <c r="K1113" s="399" t="s">
        <v>3</v>
      </c>
      <c r="L1113" s="483">
        <f t="shared" si="138"/>
        <v>7.2799999999999994</v>
      </c>
    </row>
    <row r="1114" spans="2:12" ht="14.4" x14ac:dyDescent="0.25">
      <c r="B1114" s="217" t="s">
        <v>492</v>
      </c>
      <c r="C1114" s="398"/>
      <c r="D1114" s="483">
        <v>0.24</v>
      </c>
      <c r="E1114" s="389"/>
      <c r="F1114" s="389">
        <v>2.8</v>
      </c>
      <c r="G1114" s="390">
        <v>2</v>
      </c>
      <c r="H1114" s="389">
        <f t="shared" si="137"/>
        <v>1.3439999999999999</v>
      </c>
      <c r="I1114" s="481"/>
      <c r="J1114" s="399"/>
      <c r="K1114" s="399" t="s">
        <v>3</v>
      </c>
      <c r="L1114" s="483">
        <f t="shared" si="138"/>
        <v>1.3439999999999999</v>
      </c>
    </row>
    <row r="1115" spans="2:12" ht="14.4" x14ac:dyDescent="0.25">
      <c r="B1115" s="217" t="s">
        <v>501</v>
      </c>
      <c r="C1115" s="398"/>
      <c r="D1115" s="483">
        <v>1</v>
      </c>
      <c r="E1115" s="389"/>
      <c r="F1115" s="389">
        <v>2.8</v>
      </c>
      <c r="G1115" s="390">
        <v>2</v>
      </c>
      <c r="H1115" s="389">
        <f t="shared" si="137"/>
        <v>5.6</v>
      </c>
      <c r="I1115" s="481"/>
      <c r="J1115" s="399"/>
      <c r="K1115" s="399" t="s">
        <v>3</v>
      </c>
      <c r="L1115" s="483">
        <f t="shared" si="138"/>
        <v>5.6</v>
      </c>
    </row>
    <row r="1116" spans="2:12" ht="14.4" x14ac:dyDescent="0.25">
      <c r="B1116" s="217" t="s">
        <v>502</v>
      </c>
      <c r="C1116" s="398"/>
      <c r="D1116" s="483">
        <v>0.5</v>
      </c>
      <c r="E1116" s="389"/>
      <c r="F1116" s="389">
        <v>2.8</v>
      </c>
      <c r="G1116" s="390">
        <v>1</v>
      </c>
      <c r="H1116" s="389">
        <f t="shared" si="137"/>
        <v>1.4</v>
      </c>
      <c r="I1116" s="481"/>
      <c r="J1116" s="399"/>
      <c r="K1116" s="399" t="s">
        <v>3</v>
      </c>
      <c r="L1116" s="483">
        <f t="shared" si="138"/>
        <v>1.4</v>
      </c>
    </row>
    <row r="1117" spans="2:12" ht="14.4" x14ac:dyDescent="0.25">
      <c r="B1117" s="21" t="s">
        <v>563</v>
      </c>
      <c r="C1117" s="12"/>
      <c r="D1117" s="35">
        <f>SUM(D1105:D1116)</f>
        <v>40.95000000000001</v>
      </c>
      <c r="E1117" s="459"/>
      <c r="F1117" s="10"/>
      <c r="G1117" s="22"/>
      <c r="H1117" s="19"/>
      <c r="I1117" s="19"/>
      <c r="J1117" s="19"/>
      <c r="K1117" s="23" t="s">
        <v>3</v>
      </c>
      <c r="L1117" s="13">
        <f>SUM(L1105:L1116)</f>
        <v>232.94289999999998</v>
      </c>
    </row>
    <row r="1118" spans="2:12" ht="14.4" x14ac:dyDescent="0.3">
      <c r="B1118" s="24" t="s">
        <v>702</v>
      </c>
      <c r="C1118" s="114"/>
      <c r="D1118" s="115"/>
      <c r="E1118" s="115"/>
      <c r="F1118" s="115"/>
      <c r="G1118" s="114"/>
      <c r="H1118" s="116"/>
      <c r="I1118" s="117"/>
      <c r="J1118" s="116"/>
      <c r="K1118" s="116"/>
      <c r="L1118" s="118"/>
    </row>
    <row r="1119" spans="2:12" ht="14.4" x14ac:dyDescent="0.25">
      <c r="B1119" s="217" t="s">
        <v>493</v>
      </c>
      <c r="C1119" s="398"/>
      <c r="D1119" s="389">
        <v>2.96</v>
      </c>
      <c r="E1119" s="389"/>
      <c r="F1119" s="389">
        <v>2.8</v>
      </c>
      <c r="G1119" s="390">
        <v>1</v>
      </c>
      <c r="H1119" s="389">
        <f t="shared" ref="H1119" si="139">D1119*F1119*G1119-I1119</f>
        <v>8.2880000000000003</v>
      </c>
      <c r="I1119" s="481"/>
      <c r="J1119" s="399"/>
      <c r="K1119" s="399" t="s">
        <v>3</v>
      </c>
      <c r="L1119" s="389">
        <f>H1119</f>
        <v>8.2880000000000003</v>
      </c>
    </row>
    <row r="1120" spans="2:12" ht="14.4" x14ac:dyDescent="0.25">
      <c r="B1120" s="21" t="s">
        <v>684</v>
      </c>
      <c r="C1120" s="12"/>
      <c r="D1120" s="35">
        <f>SUM(D1119:D1119)</f>
        <v>2.96</v>
      </c>
      <c r="E1120" s="459"/>
      <c r="F1120" s="10"/>
      <c r="G1120" s="22"/>
      <c r="H1120" s="19"/>
      <c r="I1120" s="19"/>
      <c r="J1120" s="19"/>
      <c r="K1120" s="23" t="s">
        <v>3</v>
      </c>
      <c r="L1120" s="13">
        <f>SUM(L1119:L1119)</f>
        <v>8.2880000000000003</v>
      </c>
    </row>
    <row r="1121" spans="2:12" ht="14.4" x14ac:dyDescent="0.3">
      <c r="B1121" s="24" t="s">
        <v>688</v>
      </c>
      <c r="C1121" s="114"/>
      <c r="D1121" s="115"/>
      <c r="E1121" s="115"/>
      <c r="F1121" s="115"/>
      <c r="G1121" s="114"/>
      <c r="H1121" s="116"/>
      <c r="I1121" s="117"/>
      <c r="J1121" s="116"/>
      <c r="K1121" s="116"/>
      <c r="L1121" s="118"/>
    </row>
    <row r="1122" spans="2:12" ht="14.4" x14ac:dyDescent="0.25">
      <c r="B1122" s="217" t="s">
        <v>478</v>
      </c>
      <c r="C1122" s="398"/>
      <c r="D1122" s="483">
        <v>3.3</v>
      </c>
      <c r="E1122" s="389"/>
      <c r="F1122" s="528">
        <v>0.2</v>
      </c>
      <c r="G1122" s="390">
        <v>1</v>
      </c>
      <c r="H1122" s="389">
        <f t="shared" ref="H1122:H1135" si="140">D1122*F1122*G1122-I1122</f>
        <v>0.66</v>
      </c>
      <c r="I1122" s="481"/>
      <c r="J1122" s="399"/>
      <c r="K1122" s="399" t="s">
        <v>3</v>
      </c>
      <c r="L1122" s="483">
        <f t="shared" ref="L1122:L1135" si="141">H1122</f>
        <v>0.66</v>
      </c>
    </row>
    <row r="1123" spans="2:12" ht="14.4" x14ac:dyDescent="0.25">
      <c r="B1123" s="217" t="s">
        <v>479</v>
      </c>
      <c r="C1123" s="398"/>
      <c r="D1123" s="483">
        <v>21.6</v>
      </c>
      <c r="E1123" s="389"/>
      <c r="F1123" s="528">
        <v>0.2</v>
      </c>
      <c r="G1123" s="390">
        <v>1</v>
      </c>
      <c r="H1123" s="389">
        <f t="shared" si="140"/>
        <v>4.32</v>
      </c>
      <c r="I1123" s="481"/>
      <c r="J1123" s="399"/>
      <c r="K1123" s="399" t="s">
        <v>3</v>
      </c>
      <c r="L1123" s="483">
        <f t="shared" si="141"/>
        <v>4.32</v>
      </c>
    </row>
    <row r="1124" spans="2:12" ht="14.4" x14ac:dyDescent="0.25">
      <c r="B1124" s="217" t="s">
        <v>480</v>
      </c>
      <c r="C1124" s="398"/>
      <c r="D1124" s="483">
        <v>10.74</v>
      </c>
      <c r="E1124" s="389"/>
      <c r="F1124" s="528">
        <v>0.2</v>
      </c>
      <c r="G1124" s="390">
        <v>1</v>
      </c>
      <c r="H1124" s="389">
        <f t="shared" si="140"/>
        <v>2.1480000000000001</v>
      </c>
      <c r="I1124" s="481"/>
      <c r="J1124" s="399"/>
      <c r="K1124" s="399" t="s">
        <v>3</v>
      </c>
      <c r="L1124" s="483">
        <f t="shared" si="141"/>
        <v>2.1480000000000001</v>
      </c>
    </row>
    <row r="1125" spans="2:12" ht="14.4" x14ac:dyDescent="0.25">
      <c r="B1125" s="217" t="s">
        <v>481</v>
      </c>
      <c r="C1125" s="398"/>
      <c r="D1125" s="483">
        <v>29.12</v>
      </c>
      <c r="E1125" s="389"/>
      <c r="F1125" s="528">
        <v>0.2</v>
      </c>
      <c r="G1125" s="390">
        <v>1</v>
      </c>
      <c r="H1125" s="389">
        <f t="shared" si="140"/>
        <v>5.8240000000000007</v>
      </c>
      <c r="I1125" s="481"/>
      <c r="J1125" s="399"/>
      <c r="K1125" s="399" t="s">
        <v>3</v>
      </c>
      <c r="L1125" s="483">
        <f t="shared" si="141"/>
        <v>5.8240000000000007</v>
      </c>
    </row>
    <row r="1126" spans="2:12" ht="14.4" x14ac:dyDescent="0.25">
      <c r="B1126" s="217" t="s">
        <v>482</v>
      </c>
      <c r="C1126" s="398"/>
      <c r="D1126" s="483">
        <v>8.6199999999999992</v>
      </c>
      <c r="E1126" s="389"/>
      <c r="F1126" s="528">
        <v>0.2</v>
      </c>
      <c r="G1126" s="390">
        <v>1</v>
      </c>
      <c r="H1126" s="389">
        <f t="shared" si="140"/>
        <v>1.724</v>
      </c>
      <c r="I1126" s="481"/>
      <c r="J1126" s="399"/>
      <c r="K1126" s="399" t="s">
        <v>3</v>
      </c>
      <c r="L1126" s="483">
        <f t="shared" si="141"/>
        <v>1.724</v>
      </c>
    </row>
    <row r="1127" spans="2:12" ht="14.4" x14ac:dyDescent="0.25">
      <c r="B1127" s="217" t="s">
        <v>483</v>
      </c>
      <c r="C1127" s="398"/>
      <c r="D1127" s="483">
        <v>10.73</v>
      </c>
      <c r="E1127" s="389"/>
      <c r="F1127" s="528">
        <v>0.2</v>
      </c>
      <c r="G1127" s="390">
        <v>1</v>
      </c>
      <c r="H1127" s="389">
        <f t="shared" si="140"/>
        <v>2.1460000000000004</v>
      </c>
      <c r="I1127" s="481"/>
      <c r="J1127" s="399"/>
      <c r="K1127" s="399" t="s">
        <v>3</v>
      </c>
      <c r="L1127" s="483">
        <f t="shared" si="141"/>
        <v>2.1460000000000004</v>
      </c>
    </row>
    <row r="1128" spans="2:12" ht="14.4" x14ac:dyDescent="0.25">
      <c r="B1128" s="217" t="s">
        <v>488</v>
      </c>
      <c r="C1128" s="398"/>
      <c r="D1128" s="483">
        <v>6.7</v>
      </c>
      <c r="E1128" s="389"/>
      <c r="F1128" s="528">
        <v>2.8</v>
      </c>
      <c r="G1128" s="390">
        <v>1</v>
      </c>
      <c r="H1128" s="389">
        <f t="shared" si="140"/>
        <v>18.759999999999998</v>
      </c>
      <c r="I1128" s="481"/>
      <c r="J1128" s="399"/>
      <c r="K1128" s="399" t="s">
        <v>3</v>
      </c>
      <c r="L1128" s="483">
        <f t="shared" si="141"/>
        <v>18.759999999999998</v>
      </c>
    </row>
    <row r="1129" spans="2:12" ht="14.4" x14ac:dyDescent="0.25">
      <c r="B1129" s="217" t="s">
        <v>489</v>
      </c>
      <c r="C1129" s="398"/>
      <c r="D1129" s="483">
        <v>4.43</v>
      </c>
      <c r="E1129" s="389"/>
      <c r="F1129" s="528">
        <v>2.8</v>
      </c>
      <c r="G1129" s="390">
        <v>1</v>
      </c>
      <c r="H1129" s="389">
        <f t="shared" si="140"/>
        <v>12.403999999999998</v>
      </c>
      <c r="I1129" s="481"/>
      <c r="J1129" s="399"/>
      <c r="K1129" s="399" t="s">
        <v>3</v>
      </c>
      <c r="L1129" s="483">
        <f t="shared" si="141"/>
        <v>12.403999999999998</v>
      </c>
    </row>
    <row r="1130" spans="2:12" ht="14.4" x14ac:dyDescent="0.25">
      <c r="B1130" s="217" t="s">
        <v>490</v>
      </c>
      <c r="C1130" s="398"/>
      <c r="D1130" s="483">
        <v>2.75</v>
      </c>
      <c r="E1130" s="389"/>
      <c r="F1130" s="528">
        <v>2.8</v>
      </c>
      <c r="G1130" s="390">
        <v>1</v>
      </c>
      <c r="H1130" s="389">
        <f t="shared" si="140"/>
        <v>7.6999999999999993</v>
      </c>
      <c r="I1130" s="481"/>
      <c r="J1130" s="399"/>
      <c r="K1130" s="399" t="s">
        <v>3</v>
      </c>
      <c r="L1130" s="483">
        <f t="shared" si="141"/>
        <v>7.6999999999999993</v>
      </c>
    </row>
    <row r="1131" spans="2:12" ht="14.4" x14ac:dyDescent="0.25">
      <c r="B1131" s="217" t="s">
        <v>496</v>
      </c>
      <c r="C1131" s="398"/>
      <c r="D1131" s="483">
        <v>2.74</v>
      </c>
      <c r="E1131" s="389"/>
      <c r="F1131" s="528">
        <v>2.8</v>
      </c>
      <c r="G1131" s="390">
        <v>1</v>
      </c>
      <c r="H1131" s="389">
        <f t="shared" si="140"/>
        <v>7.6719999999999997</v>
      </c>
      <c r="I1131" s="481"/>
      <c r="J1131" s="399"/>
      <c r="K1131" s="399" t="s">
        <v>3</v>
      </c>
      <c r="L1131" s="483">
        <f t="shared" si="141"/>
        <v>7.6719999999999997</v>
      </c>
    </row>
    <row r="1132" spans="2:12" ht="14.4" x14ac:dyDescent="0.25">
      <c r="B1132" s="217" t="s">
        <v>497</v>
      </c>
      <c r="C1132" s="398"/>
      <c r="D1132" s="483">
        <v>2.78</v>
      </c>
      <c r="E1132" s="389"/>
      <c r="F1132" s="528">
        <v>2.8</v>
      </c>
      <c r="G1132" s="390">
        <v>1</v>
      </c>
      <c r="H1132" s="389">
        <f t="shared" si="140"/>
        <v>7.7839999999999989</v>
      </c>
      <c r="I1132" s="481"/>
      <c r="J1132" s="399"/>
      <c r="K1132" s="399" t="s">
        <v>3</v>
      </c>
      <c r="L1132" s="483">
        <f t="shared" si="141"/>
        <v>7.7839999999999989</v>
      </c>
    </row>
    <row r="1133" spans="2:12" ht="14.4" x14ac:dyDescent="0.25">
      <c r="B1133" s="217" t="s">
        <v>498</v>
      </c>
      <c r="C1133" s="398"/>
      <c r="D1133" s="483">
        <v>5.32</v>
      </c>
      <c r="E1133" s="389"/>
      <c r="F1133" s="528">
        <v>2.8</v>
      </c>
      <c r="G1133" s="390">
        <v>1</v>
      </c>
      <c r="H1133" s="389">
        <f t="shared" si="140"/>
        <v>14.895999999999999</v>
      </c>
      <c r="I1133" s="481"/>
      <c r="J1133" s="399"/>
      <c r="K1133" s="399" t="s">
        <v>3</v>
      </c>
      <c r="L1133" s="483">
        <f t="shared" si="141"/>
        <v>14.895999999999999</v>
      </c>
    </row>
    <row r="1134" spans="2:12" ht="14.4" x14ac:dyDescent="0.25">
      <c r="B1134" s="217" t="s">
        <v>499</v>
      </c>
      <c r="C1134" s="398"/>
      <c r="D1134" s="483">
        <v>2.27</v>
      </c>
      <c r="E1134" s="389"/>
      <c r="F1134" s="528">
        <v>2.8</v>
      </c>
      <c r="G1134" s="390">
        <v>1</v>
      </c>
      <c r="H1134" s="389">
        <f t="shared" si="140"/>
        <v>6.3559999999999999</v>
      </c>
      <c r="I1134" s="481"/>
      <c r="J1134" s="399"/>
      <c r="K1134" s="399" t="s">
        <v>3</v>
      </c>
      <c r="L1134" s="483">
        <f t="shared" si="141"/>
        <v>6.3559999999999999</v>
      </c>
    </row>
    <row r="1135" spans="2:12" ht="14.4" x14ac:dyDescent="0.25">
      <c r="B1135" s="217" t="s">
        <v>500</v>
      </c>
      <c r="C1135" s="398"/>
      <c r="D1135" s="483">
        <v>3.18</v>
      </c>
      <c r="E1135" s="389"/>
      <c r="F1135" s="528">
        <v>2.8</v>
      </c>
      <c r="G1135" s="390">
        <v>1</v>
      </c>
      <c r="H1135" s="389">
        <f t="shared" si="140"/>
        <v>8.9039999999999999</v>
      </c>
      <c r="I1135" s="481"/>
      <c r="J1135" s="399"/>
      <c r="K1135" s="399" t="s">
        <v>3</v>
      </c>
      <c r="L1135" s="483">
        <f t="shared" si="141"/>
        <v>8.9039999999999999</v>
      </c>
    </row>
    <row r="1136" spans="2:12" ht="14.4" x14ac:dyDescent="0.25">
      <c r="B1136" s="21" t="s">
        <v>564</v>
      </c>
      <c r="C1136" s="12"/>
      <c r="D1136" s="35">
        <f>SUM(D1122:D1135)</f>
        <v>114.28000000000002</v>
      </c>
      <c r="E1136" s="459"/>
      <c r="F1136" s="10"/>
      <c r="G1136" s="22"/>
      <c r="H1136" s="19"/>
      <c r="I1136" s="19"/>
      <c r="J1136" s="19"/>
      <c r="K1136" s="23" t="s">
        <v>3</v>
      </c>
      <c r="L1136" s="13">
        <f>SUM(L1122:L1135)</f>
        <v>101.29799999999999</v>
      </c>
    </row>
    <row r="1137" spans="2:13" ht="14.4" x14ac:dyDescent="0.25">
      <c r="B1137" s="501"/>
      <c r="C1137" s="502"/>
      <c r="D1137" s="503"/>
      <c r="E1137" s="510"/>
      <c r="F1137" s="150"/>
      <c r="G1137" s="504"/>
      <c r="H1137" s="505"/>
      <c r="I1137" s="505"/>
      <c r="J1137" s="505"/>
      <c r="K1137" s="179"/>
      <c r="L1137" s="506"/>
    </row>
    <row r="1138" spans="2:13" ht="14.4" x14ac:dyDescent="0.25">
      <c r="B1138" s="501"/>
      <c r="C1138" s="502"/>
      <c r="D1138" s="503"/>
      <c r="E1138" s="510"/>
      <c r="F1138" s="150"/>
      <c r="G1138" s="504"/>
      <c r="H1138" s="505"/>
      <c r="I1138" s="505"/>
      <c r="J1138" s="505"/>
      <c r="K1138" s="179"/>
      <c r="L1138" s="506"/>
    </row>
    <row r="1139" spans="2:13" ht="19.95" customHeight="1" x14ac:dyDescent="0.25">
      <c r="B1139" s="402" t="s">
        <v>629</v>
      </c>
      <c r="C1139" s="184"/>
      <c r="D1139" s="184"/>
      <c r="E1139" s="184"/>
      <c r="F1139" s="184"/>
      <c r="G1139" s="184"/>
      <c r="H1139" s="184"/>
      <c r="I1139" s="184"/>
      <c r="J1139" s="184"/>
      <c r="K1139" s="184"/>
      <c r="L1139" s="185"/>
    </row>
    <row r="1140" spans="2:13" ht="14.4" x14ac:dyDescent="0.25">
      <c r="B1140" s="555" t="s">
        <v>644</v>
      </c>
      <c r="C1140" s="556"/>
      <c r="D1140" s="556"/>
      <c r="E1140" s="556"/>
      <c r="F1140" s="556"/>
      <c r="G1140" s="556"/>
      <c r="H1140" s="556"/>
      <c r="I1140" s="556"/>
      <c r="J1140" s="556"/>
      <c r="K1140" s="556"/>
      <c r="L1140" s="557"/>
    </row>
    <row r="1141" spans="2:13" ht="14.4" customHeight="1" x14ac:dyDescent="0.25">
      <c r="B1141" s="491" t="s">
        <v>690</v>
      </c>
      <c r="C1141" s="492"/>
      <c r="D1141" s="492"/>
      <c r="E1141" s="492"/>
      <c r="F1141" s="492"/>
      <c r="G1141" s="492"/>
      <c r="H1141" s="492"/>
      <c r="I1141" s="492"/>
      <c r="J1141" s="492"/>
      <c r="K1141" s="493" t="s">
        <v>3</v>
      </c>
      <c r="L1141" s="496">
        <f>SUM(L67,L205,L340,L451,L601,L743,L899,L1004)</f>
        <v>4741.3081999999995</v>
      </c>
    </row>
    <row r="1142" spans="2:13" ht="14.4" x14ac:dyDescent="0.25">
      <c r="B1142" s="494" t="s">
        <v>691</v>
      </c>
      <c r="K1142" s="495" t="s">
        <v>3</v>
      </c>
      <c r="L1142" s="497">
        <f>SUM(L116,L244,L365,L483,L662,L801,L933,L1021)</f>
        <v>4053.7449999999999</v>
      </c>
    </row>
    <row r="1143" spans="2:13" ht="14.4" x14ac:dyDescent="0.25">
      <c r="B1143" s="494" t="s">
        <v>885</v>
      </c>
      <c r="K1143" s="495" t="s">
        <v>3</v>
      </c>
      <c r="L1143" s="497">
        <f>SUM(L128,L254,L373,L494,L674,L808,L939,L1086)</f>
        <v>467.86640000000006</v>
      </c>
    </row>
    <row r="1144" spans="2:13" ht="14.4" x14ac:dyDescent="0.25">
      <c r="B1144" s="494" t="s">
        <v>885</v>
      </c>
      <c r="K1144" s="495" t="s">
        <v>3</v>
      </c>
      <c r="L1144" s="497">
        <f>SUM(L258,L381,L501,L678,L815,L945,L1027,L1092)</f>
        <v>518.93910000000005</v>
      </c>
    </row>
    <row r="1145" spans="2:13" ht="14.4" x14ac:dyDescent="0.25">
      <c r="B1145" s="494" t="s">
        <v>886</v>
      </c>
      <c r="K1145" s="495" t="s">
        <v>3</v>
      </c>
      <c r="L1145" s="497">
        <f>SUM(L133,L267,L392,L515,L682,L828,L957,L1042,L1099)</f>
        <v>991.53089999999986</v>
      </c>
    </row>
    <row r="1146" spans="2:13" ht="14.4" x14ac:dyDescent="0.25">
      <c r="B1146" s="551" t="s">
        <v>645</v>
      </c>
      <c r="C1146" s="552"/>
      <c r="D1146" s="552"/>
      <c r="E1146" s="552"/>
      <c r="F1146" s="552"/>
      <c r="G1146" s="552"/>
      <c r="H1146" s="552"/>
      <c r="I1146" s="552"/>
      <c r="J1146" s="552"/>
      <c r="K1146" s="553"/>
      <c r="L1146" s="554"/>
    </row>
    <row r="1147" spans="2:13" ht="14.4" x14ac:dyDescent="0.25">
      <c r="B1147" s="494" t="s">
        <v>884</v>
      </c>
      <c r="K1147" s="495" t="s">
        <v>3</v>
      </c>
      <c r="L1147" s="497">
        <f>SUM(L145,L275,L530,L838,L967,L1056,L1117)</f>
        <v>849.81240000000003</v>
      </c>
    </row>
    <row r="1148" spans="2:13" ht="14.4" x14ac:dyDescent="0.25">
      <c r="B1148" s="494" t="s">
        <v>693</v>
      </c>
      <c r="K1148" s="495" t="s">
        <v>3</v>
      </c>
      <c r="L1148" s="497">
        <f>SUM(L534,L843,L973,L1060,L1120)</f>
        <v>156.596</v>
      </c>
    </row>
    <row r="1149" spans="2:13" ht="14.4" x14ac:dyDescent="0.25">
      <c r="B1149" s="512" t="s">
        <v>692</v>
      </c>
      <c r="C1149" s="77"/>
      <c r="D1149" s="77"/>
      <c r="E1149" s="77"/>
      <c r="F1149" s="77"/>
      <c r="G1149" s="77"/>
      <c r="H1149" s="77"/>
      <c r="I1149" s="77"/>
      <c r="J1149" s="77"/>
      <c r="K1149" s="537" t="s">
        <v>3</v>
      </c>
      <c r="L1149" s="538">
        <f>SUM(L150,L287,L295,L411,L542,L690,L853,L982,L1078,L1136)</f>
        <v>2472.4553999999998</v>
      </c>
      <c r="M1149" s="1"/>
    </row>
    <row r="1151" spans="2:13" ht="15" customHeight="1" x14ac:dyDescent="0.25"/>
    <row r="1152" spans="2:13" ht="15" customHeight="1" x14ac:dyDescent="0.25">
      <c r="B1152" s="826" t="s">
        <v>1</v>
      </c>
      <c r="C1152" s="55" t="s">
        <v>0</v>
      </c>
      <c r="D1152" s="52" t="s">
        <v>12</v>
      </c>
      <c r="E1152" s="52" t="s">
        <v>4</v>
      </c>
      <c r="F1152" s="52" t="s">
        <v>2</v>
      </c>
      <c r="G1152" s="52" t="s">
        <v>6</v>
      </c>
      <c r="H1152" s="148" t="s">
        <v>5</v>
      </c>
      <c r="I1152" s="56" t="s">
        <v>13</v>
      </c>
      <c r="J1152" s="148" t="s">
        <v>14</v>
      </c>
      <c r="K1152" s="826" t="s">
        <v>7</v>
      </c>
      <c r="L1152" s="827" t="s">
        <v>8</v>
      </c>
    </row>
    <row r="1153" spans="2:12" ht="15" customHeight="1" x14ac:dyDescent="0.3">
      <c r="B1153" s="822"/>
      <c r="C1153" s="80" t="s">
        <v>9</v>
      </c>
      <c r="D1153" s="81" t="s">
        <v>10</v>
      </c>
      <c r="E1153" s="81" t="s">
        <v>10</v>
      </c>
      <c r="F1153" s="81" t="s">
        <v>10</v>
      </c>
      <c r="G1153" s="80" t="s">
        <v>9</v>
      </c>
      <c r="H1153" s="82" t="s">
        <v>11</v>
      </c>
      <c r="I1153" s="113" t="s">
        <v>11</v>
      </c>
      <c r="J1153" s="82" t="s">
        <v>15</v>
      </c>
      <c r="K1153" s="822"/>
      <c r="L1153" s="824"/>
    </row>
    <row r="1154" spans="2:12" ht="15" customHeight="1" x14ac:dyDescent="0.25">
      <c r="B1154" s="585" t="s">
        <v>716</v>
      </c>
      <c r="C1154" s="184"/>
      <c r="D1154" s="184"/>
      <c r="E1154" s="184"/>
      <c r="F1154" s="184"/>
      <c r="G1154" s="184"/>
      <c r="H1154" s="184"/>
      <c r="I1154" s="184"/>
      <c r="J1154" s="184"/>
      <c r="K1154" s="586"/>
      <c r="L1154" s="185"/>
    </row>
    <row r="1155" spans="2:12" ht="15" customHeight="1" x14ac:dyDescent="0.25">
      <c r="B1155" s="357" t="s">
        <v>715</v>
      </c>
      <c r="C1155" s="363"/>
      <c r="D1155" s="343">
        <f>D128+D145</f>
        <v>93.579999999999984</v>
      </c>
      <c r="E1155" s="363"/>
      <c r="F1155" s="363"/>
      <c r="G1155" s="587">
        <v>1</v>
      </c>
      <c r="H1155" s="363"/>
      <c r="I1155" s="363"/>
      <c r="J1155" s="363"/>
      <c r="K1155" s="366" t="s">
        <v>197</v>
      </c>
      <c r="L1155" s="357">
        <f>D1155*G1155</f>
        <v>93.579999999999984</v>
      </c>
    </row>
    <row r="1156" spans="2:12" ht="15" customHeight="1" x14ac:dyDescent="0.25">
      <c r="B1156" s="357" t="s">
        <v>707</v>
      </c>
      <c r="C1156" s="223"/>
      <c r="D1156" s="73">
        <f>D254+D275</f>
        <v>30.02</v>
      </c>
      <c r="E1156" s="223"/>
      <c r="F1156" s="223"/>
      <c r="G1156" s="588">
        <v>1</v>
      </c>
      <c r="H1156" s="223"/>
      <c r="I1156" s="223"/>
      <c r="J1156" s="223"/>
      <c r="K1156" s="157" t="s">
        <v>197</v>
      </c>
      <c r="L1156" s="357">
        <f t="shared" ref="L1156:L1163" si="142">D1156*G1156</f>
        <v>30.02</v>
      </c>
    </row>
    <row r="1157" spans="2:12" ht="15" customHeight="1" x14ac:dyDescent="0.25">
      <c r="B1157" s="357" t="s">
        <v>708</v>
      </c>
      <c r="C1157" s="223"/>
      <c r="D1157" s="73">
        <f>D373</f>
        <v>14.09</v>
      </c>
      <c r="E1157" s="223"/>
      <c r="F1157" s="223"/>
      <c r="G1157" s="588">
        <v>1</v>
      </c>
      <c r="H1157" s="223"/>
      <c r="I1157" s="223"/>
      <c r="J1157" s="223"/>
      <c r="K1157" s="157" t="s">
        <v>197</v>
      </c>
      <c r="L1157" s="357">
        <f t="shared" si="142"/>
        <v>14.09</v>
      </c>
    </row>
    <row r="1158" spans="2:12" ht="15" customHeight="1" x14ac:dyDescent="0.25">
      <c r="B1158" s="357" t="s">
        <v>709</v>
      </c>
      <c r="C1158" s="223"/>
      <c r="D1158" s="73">
        <f>D494+D530</f>
        <v>79.41</v>
      </c>
      <c r="E1158" s="223"/>
      <c r="F1158" s="223"/>
      <c r="G1158" s="588">
        <v>1</v>
      </c>
      <c r="H1158" s="223"/>
      <c r="I1158" s="223"/>
      <c r="J1158" s="223"/>
      <c r="K1158" s="157" t="s">
        <v>197</v>
      </c>
      <c r="L1158" s="357">
        <f t="shared" si="142"/>
        <v>79.41</v>
      </c>
    </row>
    <row r="1159" spans="2:12" ht="15" customHeight="1" x14ac:dyDescent="0.25">
      <c r="B1159" s="357" t="s">
        <v>710</v>
      </c>
      <c r="C1159" s="223"/>
      <c r="D1159" s="73">
        <f>D674</f>
        <v>19.579999999999998</v>
      </c>
      <c r="E1159" s="223"/>
      <c r="F1159" s="223"/>
      <c r="G1159" s="588">
        <v>1</v>
      </c>
      <c r="H1159" s="223"/>
      <c r="I1159" s="223"/>
      <c r="J1159" s="223"/>
      <c r="K1159" s="157" t="s">
        <v>197</v>
      </c>
      <c r="L1159" s="357">
        <f t="shared" si="142"/>
        <v>19.579999999999998</v>
      </c>
    </row>
    <row r="1160" spans="2:12" ht="14.4" x14ac:dyDescent="0.25">
      <c r="B1160" s="357" t="s">
        <v>711</v>
      </c>
      <c r="C1160" s="223"/>
      <c r="D1160" s="73">
        <f>D808+D838</f>
        <v>17.5</v>
      </c>
      <c r="E1160" s="223"/>
      <c r="F1160" s="223"/>
      <c r="G1160" s="588">
        <v>1</v>
      </c>
      <c r="H1160" s="223"/>
      <c r="I1160" s="223"/>
      <c r="J1160" s="223"/>
      <c r="K1160" s="157" t="s">
        <v>197</v>
      </c>
      <c r="L1160" s="357">
        <f t="shared" si="142"/>
        <v>17.5</v>
      </c>
    </row>
    <row r="1161" spans="2:12" ht="14.4" x14ac:dyDescent="0.25">
      <c r="B1161" s="357" t="s">
        <v>712</v>
      </c>
      <c r="C1161" s="223"/>
      <c r="D1161" s="73">
        <f>D939+D967</f>
        <v>12.87</v>
      </c>
      <c r="E1161" s="223"/>
      <c r="F1161" s="223"/>
      <c r="G1161" s="588">
        <v>1</v>
      </c>
      <c r="H1161" s="223"/>
      <c r="I1161" s="223"/>
      <c r="J1161" s="223"/>
      <c r="K1161" s="157" t="s">
        <v>197</v>
      </c>
      <c r="L1161" s="357">
        <f t="shared" si="142"/>
        <v>12.87</v>
      </c>
    </row>
    <row r="1162" spans="2:12" ht="14.4" x14ac:dyDescent="0.25">
      <c r="B1162" s="357" t="s">
        <v>713</v>
      </c>
      <c r="C1162" s="223"/>
      <c r="D1162" s="73">
        <f>D1056</f>
        <v>31.240000000000002</v>
      </c>
      <c r="E1162" s="223"/>
      <c r="F1162" s="223"/>
      <c r="G1162" s="588">
        <v>1</v>
      </c>
      <c r="H1162" s="223"/>
      <c r="I1162" s="223"/>
      <c r="J1162" s="223"/>
      <c r="K1162" s="157" t="s">
        <v>197</v>
      </c>
      <c r="L1162" s="357">
        <f t="shared" si="142"/>
        <v>31.240000000000002</v>
      </c>
    </row>
    <row r="1163" spans="2:12" ht="14.4" x14ac:dyDescent="0.25">
      <c r="B1163" s="357" t="s">
        <v>714</v>
      </c>
      <c r="C1163" s="223"/>
      <c r="D1163" s="73">
        <f>D1086+D1117</f>
        <v>43.220000000000013</v>
      </c>
      <c r="E1163" s="223"/>
      <c r="F1163" s="223"/>
      <c r="G1163" s="588">
        <v>1</v>
      </c>
      <c r="H1163" s="223"/>
      <c r="I1163" s="223"/>
      <c r="J1163" s="223"/>
      <c r="K1163" s="157" t="s">
        <v>197</v>
      </c>
      <c r="L1163" s="357">
        <f t="shared" si="142"/>
        <v>43.220000000000013</v>
      </c>
    </row>
    <row r="1164" spans="2:12" ht="14.4" x14ac:dyDescent="0.25">
      <c r="B1164" s="173" t="s">
        <v>152</v>
      </c>
      <c r="C1164" s="184"/>
      <c r="D1164" s="225"/>
      <c r="E1164" s="184"/>
      <c r="F1164" s="184"/>
      <c r="G1164" s="589"/>
      <c r="H1164" s="184"/>
      <c r="I1164" s="184"/>
      <c r="J1164" s="184"/>
      <c r="K1164" s="586" t="s">
        <v>197</v>
      </c>
      <c r="L1164" s="590">
        <f>SUM(L1155:L1163)</f>
        <v>341.51</v>
      </c>
    </row>
    <row r="1165" spans="2:12" ht="14.4" x14ac:dyDescent="0.25">
      <c r="B1165" s="585" t="s">
        <v>718</v>
      </c>
      <c r="C1165" s="184"/>
      <c r="D1165" s="225"/>
      <c r="E1165" s="184"/>
      <c r="F1165" s="184"/>
      <c r="G1165" s="184"/>
      <c r="H1165" s="184"/>
      <c r="I1165" s="184"/>
      <c r="J1165" s="184"/>
      <c r="K1165" s="586"/>
      <c r="L1165" s="185"/>
    </row>
    <row r="1166" spans="2:12" ht="14.4" x14ac:dyDescent="0.25">
      <c r="B1166" s="357" t="s">
        <v>707</v>
      </c>
      <c r="C1166" s="223"/>
      <c r="D1166" s="73">
        <f>D258</f>
        <v>7.85</v>
      </c>
      <c r="E1166" s="223"/>
      <c r="F1166" s="223"/>
      <c r="G1166" s="588">
        <v>1</v>
      </c>
      <c r="H1166" s="223"/>
      <c r="I1166" s="223"/>
      <c r="J1166" s="223"/>
      <c r="K1166" s="157" t="s">
        <v>197</v>
      </c>
      <c r="L1166" s="343">
        <f t="shared" ref="L1166:L1173" si="143">D1166*G1166</f>
        <v>7.85</v>
      </c>
    </row>
    <row r="1167" spans="2:12" ht="14.4" x14ac:dyDescent="0.25">
      <c r="B1167" s="357" t="s">
        <v>708</v>
      </c>
      <c r="C1167" s="223"/>
      <c r="D1167" s="73">
        <f>D381</f>
        <v>16.27</v>
      </c>
      <c r="E1167" s="223"/>
      <c r="F1167" s="223"/>
      <c r="G1167" s="588">
        <v>1</v>
      </c>
      <c r="H1167" s="223"/>
      <c r="I1167" s="223"/>
      <c r="J1167" s="223"/>
      <c r="K1167" s="157" t="s">
        <v>197</v>
      </c>
      <c r="L1167" s="343">
        <f t="shared" si="143"/>
        <v>16.27</v>
      </c>
    </row>
    <row r="1168" spans="2:12" ht="14.4" x14ac:dyDescent="0.25">
      <c r="B1168" s="357" t="s">
        <v>709</v>
      </c>
      <c r="C1168" s="223"/>
      <c r="D1168" s="73">
        <f>D501</f>
        <v>14.49</v>
      </c>
      <c r="E1168" s="223"/>
      <c r="F1168" s="223"/>
      <c r="G1168" s="588">
        <v>1</v>
      </c>
      <c r="H1168" s="223"/>
      <c r="I1168" s="223"/>
      <c r="J1168" s="223"/>
      <c r="K1168" s="157" t="s">
        <v>197</v>
      </c>
      <c r="L1168" s="343">
        <f t="shared" si="143"/>
        <v>14.49</v>
      </c>
    </row>
    <row r="1169" spans="2:12" ht="14.4" x14ac:dyDescent="0.25">
      <c r="B1169" s="357" t="s">
        <v>710</v>
      </c>
      <c r="C1169" s="223"/>
      <c r="D1169" s="73">
        <f>D678</f>
        <v>3.32</v>
      </c>
      <c r="E1169" s="223"/>
      <c r="F1169" s="223"/>
      <c r="G1169" s="588">
        <v>1</v>
      </c>
      <c r="H1169" s="223"/>
      <c r="I1169" s="223"/>
      <c r="J1169" s="223"/>
      <c r="K1169" s="157" t="s">
        <v>197</v>
      </c>
      <c r="L1169" s="343">
        <f t="shared" si="143"/>
        <v>3.32</v>
      </c>
    </row>
    <row r="1170" spans="2:12" ht="14.4" x14ac:dyDescent="0.25">
      <c r="B1170" s="357" t="s">
        <v>711</v>
      </c>
      <c r="C1170" s="223"/>
      <c r="D1170" s="73">
        <f>D815</f>
        <v>14.47</v>
      </c>
      <c r="E1170" s="223"/>
      <c r="F1170" s="223"/>
      <c r="G1170" s="588">
        <v>1</v>
      </c>
      <c r="H1170" s="223"/>
      <c r="I1170" s="223"/>
      <c r="J1170" s="223"/>
      <c r="K1170" s="157" t="s">
        <v>197</v>
      </c>
      <c r="L1170" s="343">
        <f t="shared" si="143"/>
        <v>14.47</v>
      </c>
    </row>
    <row r="1171" spans="2:12" ht="14.4" x14ac:dyDescent="0.25">
      <c r="B1171" s="357" t="s">
        <v>712</v>
      </c>
      <c r="C1171" s="223"/>
      <c r="D1171" s="73">
        <f>D945</f>
        <v>12.21</v>
      </c>
      <c r="E1171" s="223"/>
      <c r="F1171" s="223"/>
      <c r="G1171" s="588">
        <v>1</v>
      </c>
      <c r="H1171" s="223"/>
      <c r="I1171" s="223"/>
      <c r="J1171" s="223"/>
      <c r="K1171" s="157" t="s">
        <v>197</v>
      </c>
      <c r="L1171" s="343">
        <f t="shared" si="143"/>
        <v>12.21</v>
      </c>
    </row>
    <row r="1172" spans="2:12" ht="14.4" x14ac:dyDescent="0.25">
      <c r="B1172" s="357" t="s">
        <v>713</v>
      </c>
      <c r="C1172" s="223"/>
      <c r="D1172" s="73">
        <f>D1027</f>
        <v>6.57</v>
      </c>
      <c r="E1172" s="223"/>
      <c r="F1172" s="223"/>
      <c r="G1172" s="588">
        <v>1</v>
      </c>
      <c r="H1172" s="223"/>
      <c r="I1172" s="223"/>
      <c r="J1172" s="223"/>
      <c r="K1172" s="157" t="s">
        <v>197</v>
      </c>
      <c r="L1172" s="343">
        <f t="shared" si="143"/>
        <v>6.57</v>
      </c>
    </row>
    <row r="1173" spans="2:12" ht="14.4" x14ac:dyDescent="0.25">
      <c r="B1173" s="357" t="s">
        <v>714</v>
      </c>
      <c r="C1173" s="223"/>
      <c r="D1173" s="73">
        <f>D1092</f>
        <v>19.240000000000002</v>
      </c>
      <c r="E1173" s="223"/>
      <c r="F1173" s="223"/>
      <c r="G1173" s="588">
        <v>1</v>
      </c>
      <c r="H1173" s="223"/>
      <c r="I1173" s="223"/>
      <c r="J1173" s="223"/>
      <c r="K1173" s="157" t="s">
        <v>197</v>
      </c>
      <c r="L1173" s="343">
        <f t="shared" si="143"/>
        <v>19.240000000000002</v>
      </c>
    </row>
    <row r="1174" spans="2:12" ht="14.4" x14ac:dyDescent="0.25">
      <c r="B1174" s="173" t="s">
        <v>152</v>
      </c>
      <c r="C1174" s="184"/>
      <c r="D1174" s="225"/>
      <c r="E1174" s="184"/>
      <c r="F1174" s="184"/>
      <c r="G1174" s="589"/>
      <c r="H1174" s="184"/>
      <c r="I1174" s="184"/>
      <c r="J1174" s="184"/>
      <c r="K1174" s="586" t="s">
        <v>197</v>
      </c>
      <c r="L1174" s="421">
        <f>SUM(L1166:L1173)</f>
        <v>94.420000000000016</v>
      </c>
    </row>
    <row r="1175" spans="2:12" ht="14.4" x14ac:dyDescent="0.25">
      <c r="B1175" s="585" t="s">
        <v>717</v>
      </c>
      <c r="C1175" s="184"/>
      <c r="D1175" s="225"/>
      <c r="E1175" s="184"/>
      <c r="F1175" s="184"/>
      <c r="G1175" s="184"/>
      <c r="H1175" s="184"/>
      <c r="I1175" s="184"/>
      <c r="J1175" s="184"/>
      <c r="K1175" s="586"/>
      <c r="L1175" s="185"/>
    </row>
    <row r="1176" spans="2:12" ht="14.4" x14ac:dyDescent="0.25">
      <c r="B1176" s="357" t="s">
        <v>715</v>
      </c>
      <c r="C1176" s="363"/>
      <c r="D1176" s="343">
        <f>D133</f>
        <v>14.78</v>
      </c>
      <c r="E1176" s="363"/>
      <c r="F1176" s="363"/>
      <c r="G1176" s="587">
        <v>1</v>
      </c>
      <c r="H1176" s="363"/>
      <c r="I1176" s="363"/>
      <c r="J1176" s="363"/>
      <c r="K1176" s="366" t="s">
        <v>197</v>
      </c>
      <c r="L1176" s="357">
        <f t="shared" ref="L1176:L1184" si="144">D1176*G1176</f>
        <v>14.78</v>
      </c>
    </row>
    <row r="1177" spans="2:12" ht="14.4" x14ac:dyDescent="0.25">
      <c r="B1177" s="357" t="s">
        <v>707</v>
      </c>
      <c r="C1177" s="223"/>
      <c r="D1177" s="73">
        <f>D267</f>
        <v>28.48</v>
      </c>
      <c r="E1177" s="223"/>
      <c r="F1177" s="223"/>
      <c r="G1177" s="588">
        <v>1</v>
      </c>
      <c r="H1177" s="223"/>
      <c r="I1177" s="223"/>
      <c r="J1177" s="223"/>
      <c r="K1177" s="157" t="s">
        <v>197</v>
      </c>
      <c r="L1177" s="357">
        <f t="shared" si="144"/>
        <v>28.48</v>
      </c>
    </row>
    <row r="1178" spans="2:12" ht="14.4" x14ac:dyDescent="0.25">
      <c r="B1178" s="357" t="s">
        <v>708</v>
      </c>
      <c r="C1178" s="223"/>
      <c r="D1178" s="73">
        <f>D392</f>
        <v>31.720000000000002</v>
      </c>
      <c r="E1178" s="223"/>
      <c r="F1178" s="223"/>
      <c r="G1178" s="588">
        <v>1</v>
      </c>
      <c r="H1178" s="223"/>
      <c r="I1178" s="223"/>
      <c r="J1178" s="223"/>
      <c r="K1178" s="157" t="s">
        <v>197</v>
      </c>
      <c r="L1178" s="357">
        <f t="shared" si="144"/>
        <v>31.720000000000002</v>
      </c>
    </row>
    <row r="1179" spans="2:12" ht="14.4" x14ac:dyDescent="0.25">
      <c r="B1179" s="357" t="s">
        <v>709</v>
      </c>
      <c r="C1179" s="223"/>
      <c r="D1179" s="73">
        <f>D515</f>
        <v>38.630000000000003</v>
      </c>
      <c r="E1179" s="223"/>
      <c r="F1179" s="223"/>
      <c r="G1179" s="588">
        <v>1</v>
      </c>
      <c r="H1179" s="223"/>
      <c r="I1179" s="223"/>
      <c r="J1179" s="223"/>
      <c r="K1179" s="157" t="s">
        <v>197</v>
      </c>
      <c r="L1179" s="357">
        <f t="shared" si="144"/>
        <v>38.630000000000003</v>
      </c>
    </row>
    <row r="1180" spans="2:12" ht="14.4" x14ac:dyDescent="0.25">
      <c r="B1180" s="357" t="s">
        <v>710</v>
      </c>
      <c r="C1180" s="223"/>
      <c r="D1180" s="73">
        <f>D682</f>
        <v>3.19</v>
      </c>
      <c r="E1180" s="223"/>
      <c r="F1180" s="223"/>
      <c r="G1180" s="588">
        <v>1</v>
      </c>
      <c r="H1180" s="223"/>
      <c r="I1180" s="223"/>
      <c r="J1180" s="223"/>
      <c r="K1180" s="157" t="s">
        <v>197</v>
      </c>
      <c r="L1180" s="357">
        <f t="shared" si="144"/>
        <v>3.19</v>
      </c>
    </row>
    <row r="1181" spans="2:12" ht="14.4" x14ac:dyDescent="0.25">
      <c r="B1181" s="357" t="s">
        <v>711</v>
      </c>
      <c r="C1181" s="223"/>
      <c r="D1181" s="73">
        <f>D828</f>
        <v>33.690000000000005</v>
      </c>
      <c r="E1181" s="223"/>
      <c r="F1181" s="223"/>
      <c r="G1181" s="588">
        <v>1</v>
      </c>
      <c r="H1181" s="223"/>
      <c r="I1181" s="223"/>
      <c r="J1181" s="223"/>
      <c r="K1181" s="157" t="s">
        <v>197</v>
      </c>
      <c r="L1181" s="357">
        <f t="shared" si="144"/>
        <v>33.690000000000005</v>
      </c>
    </row>
    <row r="1182" spans="2:12" ht="14.4" x14ac:dyDescent="0.25">
      <c r="B1182" s="357" t="s">
        <v>712</v>
      </c>
      <c r="C1182" s="223"/>
      <c r="D1182" s="73">
        <f>D957</f>
        <v>35.21</v>
      </c>
      <c r="E1182" s="223"/>
      <c r="F1182" s="223"/>
      <c r="G1182" s="588">
        <v>1</v>
      </c>
      <c r="H1182" s="223"/>
      <c r="I1182" s="223"/>
      <c r="J1182" s="223"/>
      <c r="K1182" s="157" t="s">
        <v>197</v>
      </c>
      <c r="L1182" s="343">
        <f t="shared" si="144"/>
        <v>35.21</v>
      </c>
    </row>
    <row r="1183" spans="2:12" ht="14.4" x14ac:dyDescent="0.25">
      <c r="B1183" s="357" t="s">
        <v>713</v>
      </c>
      <c r="C1183" s="223"/>
      <c r="D1183" s="73">
        <f>D1042</f>
        <v>40.67</v>
      </c>
      <c r="E1183" s="223"/>
      <c r="F1183" s="223"/>
      <c r="G1183" s="588">
        <v>1</v>
      </c>
      <c r="H1183" s="223"/>
      <c r="I1183" s="223"/>
      <c r="J1183" s="223"/>
      <c r="K1183" s="157" t="s">
        <v>197</v>
      </c>
      <c r="L1183" s="343">
        <f t="shared" si="144"/>
        <v>40.67</v>
      </c>
    </row>
    <row r="1184" spans="2:12" ht="14.4" x14ac:dyDescent="0.25">
      <c r="B1184" s="357" t="s">
        <v>714</v>
      </c>
      <c r="C1184" s="223"/>
      <c r="D1184" s="73">
        <f>D1099</f>
        <v>24.6</v>
      </c>
      <c r="E1184" s="223"/>
      <c r="F1184" s="223"/>
      <c r="G1184" s="588">
        <v>1</v>
      </c>
      <c r="H1184" s="223"/>
      <c r="I1184" s="223"/>
      <c r="J1184" s="223"/>
      <c r="K1184" s="157" t="s">
        <v>197</v>
      </c>
      <c r="L1184" s="343">
        <f t="shared" si="144"/>
        <v>24.6</v>
      </c>
    </row>
    <row r="1185" spans="2:12" ht="14.4" x14ac:dyDescent="0.25">
      <c r="B1185" s="173" t="s">
        <v>152</v>
      </c>
      <c r="C1185" s="184"/>
      <c r="D1185" s="225"/>
      <c r="E1185" s="184"/>
      <c r="F1185" s="184"/>
      <c r="G1185" s="589"/>
      <c r="H1185" s="184"/>
      <c r="I1185" s="184"/>
      <c r="J1185" s="184"/>
      <c r="K1185" s="586" t="s">
        <v>197</v>
      </c>
      <c r="L1185" s="590">
        <f>SUM(L1176:L1184)</f>
        <v>250.97</v>
      </c>
    </row>
  </sheetData>
  <mergeCells count="111">
    <mergeCell ref="B985:B986"/>
    <mergeCell ref="K985:K986"/>
    <mergeCell ref="L985:L986"/>
    <mergeCell ref="B1081:B1082"/>
    <mergeCell ref="K1081:K1082"/>
    <mergeCell ref="L1081:L1082"/>
    <mergeCell ref="B1005:B1006"/>
    <mergeCell ref="K1005:K1006"/>
    <mergeCell ref="L1005:L1006"/>
    <mergeCell ref="B1028:B1029"/>
    <mergeCell ref="K1028:K1029"/>
    <mergeCell ref="L1028:L1029"/>
    <mergeCell ref="B1022:B1023"/>
    <mergeCell ref="K1022:K1023"/>
    <mergeCell ref="L1022:L1023"/>
    <mergeCell ref="B206:B207"/>
    <mergeCell ref="K206:K207"/>
    <mergeCell ref="L206:L207"/>
    <mergeCell ref="B602:B603"/>
    <mergeCell ref="K602:K603"/>
    <mergeCell ref="L602:L603"/>
    <mergeCell ref="B663:B664"/>
    <mergeCell ref="K663:K664"/>
    <mergeCell ref="L663:L664"/>
    <mergeCell ref="B298:B299"/>
    <mergeCell ref="K298:K299"/>
    <mergeCell ref="L298:L299"/>
    <mergeCell ref="B545:B546"/>
    <mergeCell ref="K545:K546"/>
    <mergeCell ref="L545:L546"/>
    <mergeCell ref="B484:B485"/>
    <mergeCell ref="K484:K485"/>
    <mergeCell ref="L484:L485"/>
    <mergeCell ref="B341:B342"/>
    <mergeCell ref="K341:K342"/>
    <mergeCell ref="L341:L342"/>
    <mergeCell ref="B245:B246"/>
    <mergeCell ref="K245:K246"/>
    <mergeCell ref="L245:L246"/>
    <mergeCell ref="B11:B12"/>
    <mergeCell ref="K11:K12"/>
    <mergeCell ref="L11:L12"/>
    <mergeCell ref="B68:B69"/>
    <mergeCell ref="K68:K69"/>
    <mergeCell ref="L68:L69"/>
    <mergeCell ref="B153:B154"/>
    <mergeCell ref="K153:K154"/>
    <mergeCell ref="L153:L154"/>
    <mergeCell ref="B117:B118"/>
    <mergeCell ref="K117:K118"/>
    <mergeCell ref="L117:L118"/>
    <mergeCell ref="B136:B137"/>
    <mergeCell ref="K136:K137"/>
    <mergeCell ref="L136:L137"/>
    <mergeCell ref="B693:B694"/>
    <mergeCell ref="K693:K694"/>
    <mergeCell ref="L693:L694"/>
    <mergeCell ref="B802:B803"/>
    <mergeCell ref="K802:K803"/>
    <mergeCell ref="L802:L803"/>
    <mergeCell ref="B960:B961"/>
    <mergeCell ref="K960:K961"/>
    <mergeCell ref="L960:L961"/>
    <mergeCell ref="B744:B745"/>
    <mergeCell ref="K744:K745"/>
    <mergeCell ref="L744:L745"/>
    <mergeCell ref="B831:B832"/>
    <mergeCell ref="K831:K832"/>
    <mergeCell ref="L831:L832"/>
    <mergeCell ref="B856:B857"/>
    <mergeCell ref="K856:K857"/>
    <mergeCell ref="L856:L857"/>
    <mergeCell ref="B900:B901"/>
    <mergeCell ref="K900:K901"/>
    <mergeCell ref="L900:L901"/>
    <mergeCell ref="B934:B935"/>
    <mergeCell ref="K934:K935"/>
    <mergeCell ref="L934:L935"/>
    <mergeCell ref="B270:B271"/>
    <mergeCell ref="K270:K271"/>
    <mergeCell ref="L270:L271"/>
    <mergeCell ref="B290:B291"/>
    <mergeCell ref="K290:K291"/>
    <mergeCell ref="L290:L291"/>
    <mergeCell ref="B685:B686"/>
    <mergeCell ref="K685:K686"/>
    <mergeCell ref="L685:L686"/>
    <mergeCell ref="B452:B453"/>
    <mergeCell ref="K452:K453"/>
    <mergeCell ref="L452:L453"/>
    <mergeCell ref="B395:B396"/>
    <mergeCell ref="K395:K396"/>
    <mergeCell ref="L395:L396"/>
    <mergeCell ref="B518:B519"/>
    <mergeCell ref="K518:K519"/>
    <mergeCell ref="L518:L519"/>
    <mergeCell ref="B366:B367"/>
    <mergeCell ref="K366:K367"/>
    <mergeCell ref="L366:L367"/>
    <mergeCell ref="K414:K415"/>
    <mergeCell ref="L414:L415"/>
    <mergeCell ref="B414:B415"/>
    <mergeCell ref="B1152:B1153"/>
    <mergeCell ref="K1152:K1153"/>
    <mergeCell ref="L1152:L1153"/>
    <mergeCell ref="B1045:B1046"/>
    <mergeCell ref="K1045:K1046"/>
    <mergeCell ref="L1045:L1046"/>
    <mergeCell ref="B1102:B1103"/>
    <mergeCell ref="K1102:K1103"/>
    <mergeCell ref="L1102:L1103"/>
  </mergeCells>
  <dataValidations count="1">
    <dataValidation type="list" allowBlank="1" showInputMessage="1" showErrorMessage="1" sqref="H245:H247 H129 H1121 H68:H70 H153:H155 H206:H208 H366:H368 H535 H341:H343 H382 H374 H484:H486 H414:H416 H452:H454 H502 H117:H118 H11:H13 H663:H665 H545:H547 H602:H604 H679 H802:H804 H693:H695 H816 H744:H746 H934:H936 H856:H858 H946 H900:H902 H1045:H1047 H985:H987 H290:H292 H1005:H1007 H1102:H1104 H940 H809 H136:H138 H146 H270:H272 H276 H395:H397 H518:H520 H298:H300 H531 H675 H1061 H685:H687 H259 H255 H1152:H1153 H1093 H1081:H1083 H1087 H1118 H1028:H1030 H1022:H1024 H1057 H974 H960:H962 H968:H969 H844 H831:H833 H839 H495" xr:uid="{00000000-0002-0000-0000-000000000000}">
      <formula1>"G,T,E,O"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6"/>
  <sheetViews>
    <sheetView topLeftCell="A9" workbookViewId="0">
      <selection activeCell="B33" sqref="B33"/>
    </sheetView>
  </sheetViews>
  <sheetFormatPr defaultRowHeight="13.2" x14ac:dyDescent="0.25"/>
  <cols>
    <col min="2" max="2" width="40.109375" customWidth="1"/>
    <col min="3" max="3" width="11.77734375" customWidth="1"/>
    <col min="4" max="4" width="13.6640625" customWidth="1"/>
    <col min="7" max="7" width="10.6640625" customWidth="1"/>
    <col min="9" max="9" width="7.77734375" customWidth="1"/>
  </cols>
  <sheetData>
    <row r="2" spans="2:18" ht="14.4" x14ac:dyDescent="0.25">
      <c r="B2" s="152" t="s">
        <v>55</v>
      </c>
    </row>
    <row r="3" spans="2:18" ht="14.4" x14ac:dyDescent="0.25">
      <c r="B3" s="152" t="s">
        <v>56</v>
      </c>
    </row>
    <row r="4" spans="2:18" ht="14.4" x14ac:dyDescent="0.25">
      <c r="B4" s="154" t="s">
        <v>54</v>
      </c>
    </row>
    <row r="6" spans="2:18" ht="15.6" x14ac:dyDescent="0.25">
      <c r="B6" s="161" t="s">
        <v>380</v>
      </c>
    </row>
    <row r="7" spans="2:18" ht="15" customHeight="1" x14ac:dyDescent="0.25">
      <c r="J7" s="77"/>
      <c r="K7" s="77"/>
      <c r="L7" s="77"/>
      <c r="M7" s="77"/>
      <c r="N7" s="77"/>
      <c r="O7" s="77"/>
      <c r="P7" s="77"/>
      <c r="Q7" s="77"/>
      <c r="R7" s="77"/>
    </row>
    <row r="8" spans="2:18" ht="24" x14ac:dyDescent="0.25">
      <c r="B8" s="402" t="s">
        <v>627</v>
      </c>
      <c r="C8" s="184"/>
      <c r="D8" s="184"/>
      <c r="E8" s="184"/>
      <c r="F8" s="184"/>
      <c r="G8" s="184"/>
      <c r="H8" s="184"/>
      <c r="I8" s="403"/>
      <c r="J8" s="164" t="s">
        <v>57</v>
      </c>
      <c r="K8" s="164" t="s">
        <v>204</v>
      </c>
      <c r="L8" s="164" t="s">
        <v>64</v>
      </c>
      <c r="M8" s="164" t="s">
        <v>65</v>
      </c>
      <c r="N8" s="164" t="s">
        <v>66</v>
      </c>
      <c r="O8" s="164" t="s">
        <v>67</v>
      </c>
      <c r="P8" s="164" t="s">
        <v>68</v>
      </c>
      <c r="Q8" s="164" t="s">
        <v>670</v>
      </c>
      <c r="R8" s="183"/>
    </row>
    <row r="9" spans="2:18" ht="14.4" customHeight="1" x14ac:dyDescent="0.25">
      <c r="B9" s="834" t="s">
        <v>156</v>
      </c>
      <c r="C9" s="189" t="s">
        <v>0</v>
      </c>
      <c r="D9" s="404" t="s">
        <v>12</v>
      </c>
      <c r="E9" s="404" t="s">
        <v>4</v>
      </c>
      <c r="F9" s="404" t="s">
        <v>2</v>
      </c>
      <c r="G9" s="404" t="s">
        <v>6</v>
      </c>
      <c r="H9" s="191" t="s">
        <v>5</v>
      </c>
      <c r="I9" s="836" t="s">
        <v>154</v>
      </c>
      <c r="J9" s="831" t="s">
        <v>50</v>
      </c>
      <c r="K9" s="830" t="s">
        <v>93</v>
      </c>
      <c r="L9" s="830" t="s">
        <v>94</v>
      </c>
      <c r="M9" s="830" t="s">
        <v>95</v>
      </c>
      <c r="N9" s="830" t="s">
        <v>96</v>
      </c>
      <c r="O9" s="830" t="s">
        <v>97</v>
      </c>
      <c r="P9" s="830" t="s">
        <v>98</v>
      </c>
      <c r="Q9" s="830" t="s">
        <v>646</v>
      </c>
      <c r="R9" s="832" t="s">
        <v>8</v>
      </c>
    </row>
    <row r="10" spans="2:18" ht="14.4" x14ac:dyDescent="0.3">
      <c r="B10" s="835"/>
      <c r="C10" s="405" t="s">
        <v>9</v>
      </c>
      <c r="D10" s="406" t="s">
        <v>10</v>
      </c>
      <c r="E10" s="406" t="s">
        <v>10</v>
      </c>
      <c r="F10" s="406" t="s">
        <v>10</v>
      </c>
      <c r="G10" s="405" t="s">
        <v>9</v>
      </c>
      <c r="H10" s="194" t="s">
        <v>11</v>
      </c>
      <c r="I10" s="836"/>
      <c r="J10" s="830"/>
      <c r="K10" s="831"/>
      <c r="L10" s="831"/>
      <c r="M10" s="831"/>
      <c r="N10" s="831"/>
      <c r="O10" s="831"/>
      <c r="P10" s="831"/>
      <c r="Q10" s="831"/>
      <c r="R10" s="833"/>
    </row>
    <row r="11" spans="2:18" ht="14.4" x14ac:dyDescent="0.3">
      <c r="B11" s="233" t="s">
        <v>165</v>
      </c>
      <c r="C11" s="405"/>
      <c r="D11" s="427">
        <v>4.01</v>
      </c>
      <c r="E11" s="406"/>
      <c r="F11" s="425">
        <v>1.8</v>
      </c>
      <c r="G11" s="426">
        <v>1</v>
      </c>
      <c r="H11" s="73">
        <f t="shared" ref="H11:H14" si="0">D11*F11*G11</f>
        <v>7.218</v>
      </c>
      <c r="I11" s="423" t="s">
        <v>3</v>
      </c>
      <c r="J11" s="424">
        <f>H11</f>
        <v>7.218</v>
      </c>
      <c r="K11" s="422"/>
      <c r="L11" s="422"/>
      <c r="M11" s="422"/>
      <c r="N11" s="422"/>
      <c r="O11" s="422"/>
      <c r="P11" s="422"/>
      <c r="Q11" s="422"/>
      <c r="R11" s="73">
        <f>SUM(J11:Q11)</f>
        <v>7.218</v>
      </c>
    </row>
    <row r="12" spans="2:18" ht="14.4" x14ac:dyDescent="0.3">
      <c r="B12" s="233" t="s">
        <v>166</v>
      </c>
      <c r="C12" s="405"/>
      <c r="D12" s="427">
        <v>4.01</v>
      </c>
      <c r="E12" s="406"/>
      <c r="F12" s="425">
        <v>1.8</v>
      </c>
      <c r="G12" s="426">
        <v>1</v>
      </c>
      <c r="H12" s="73">
        <f t="shared" si="0"/>
        <v>7.218</v>
      </c>
      <c r="I12" s="423" t="s">
        <v>3</v>
      </c>
      <c r="J12" s="424">
        <f t="shared" ref="J12:J14" si="1">H12</f>
        <v>7.218</v>
      </c>
      <c r="K12" s="422"/>
      <c r="L12" s="422"/>
      <c r="M12" s="422"/>
      <c r="N12" s="422"/>
      <c r="O12" s="422"/>
      <c r="P12" s="422"/>
      <c r="Q12" s="422"/>
      <c r="R12" s="73">
        <f t="shared" ref="R12:R32" si="2">SUM(J12:Q12)</f>
        <v>7.218</v>
      </c>
    </row>
    <row r="13" spans="2:18" ht="14.4" x14ac:dyDescent="0.3">
      <c r="B13" s="233" t="s">
        <v>165</v>
      </c>
      <c r="C13" s="405"/>
      <c r="D13" s="427">
        <v>4.01</v>
      </c>
      <c r="E13" s="406"/>
      <c r="F13" s="425">
        <v>1.8</v>
      </c>
      <c r="G13" s="426">
        <v>1</v>
      </c>
      <c r="H13" s="73">
        <f t="shared" si="0"/>
        <v>7.218</v>
      </c>
      <c r="I13" s="423" t="s">
        <v>3</v>
      </c>
      <c r="J13" s="424">
        <f t="shared" si="1"/>
        <v>7.218</v>
      </c>
      <c r="K13" s="422"/>
      <c r="L13" s="422"/>
      <c r="M13" s="422"/>
      <c r="N13" s="422"/>
      <c r="O13" s="422"/>
      <c r="P13" s="422"/>
      <c r="Q13" s="422"/>
      <c r="R13" s="73">
        <f t="shared" si="2"/>
        <v>7.218</v>
      </c>
    </row>
    <row r="14" spans="2:18" ht="14.4" x14ac:dyDescent="0.3">
      <c r="B14" s="233" t="s">
        <v>166</v>
      </c>
      <c r="C14" s="405"/>
      <c r="D14" s="427">
        <v>4.01</v>
      </c>
      <c r="E14" s="406"/>
      <c r="F14" s="425">
        <v>1.8</v>
      </c>
      <c r="G14" s="426">
        <v>1</v>
      </c>
      <c r="H14" s="73">
        <f t="shared" si="0"/>
        <v>7.218</v>
      </c>
      <c r="I14" s="423" t="s">
        <v>3</v>
      </c>
      <c r="J14" s="424">
        <f t="shared" si="1"/>
        <v>7.218</v>
      </c>
      <c r="K14" s="422"/>
      <c r="L14" s="422"/>
      <c r="M14" s="422"/>
      <c r="N14" s="422"/>
      <c r="O14" s="422"/>
      <c r="P14" s="422"/>
      <c r="Q14" s="422"/>
      <c r="R14" s="73">
        <f t="shared" si="2"/>
        <v>7.218</v>
      </c>
    </row>
    <row r="15" spans="2:18" ht="14.4" x14ac:dyDescent="0.25">
      <c r="B15" s="407" t="s">
        <v>565</v>
      </c>
      <c r="C15" s="408"/>
      <c r="D15" s="409">
        <v>4.0199999999999996</v>
      </c>
      <c r="E15" s="409"/>
      <c r="F15" s="425">
        <v>1.8</v>
      </c>
      <c r="G15" s="410">
        <v>1</v>
      </c>
      <c r="H15" s="73">
        <f>D15*F15*G15</f>
        <v>7.2359999999999998</v>
      </c>
      <c r="I15" s="411" t="s">
        <v>3</v>
      </c>
      <c r="J15" s="412"/>
      <c r="K15" s="412">
        <f>H15</f>
        <v>7.2359999999999998</v>
      </c>
      <c r="L15" s="412"/>
      <c r="M15" s="412"/>
      <c r="N15" s="412"/>
      <c r="O15" s="412"/>
      <c r="P15" s="412"/>
      <c r="Q15" s="412"/>
      <c r="R15" s="73">
        <f t="shared" si="2"/>
        <v>7.2359999999999998</v>
      </c>
    </row>
    <row r="16" spans="2:18" ht="14.4" x14ac:dyDescent="0.25">
      <c r="B16" s="407" t="s">
        <v>566</v>
      </c>
      <c r="C16" s="408"/>
      <c r="D16" s="409">
        <v>4.0199999999999996</v>
      </c>
      <c r="E16" s="409"/>
      <c r="F16" s="425">
        <v>1.8</v>
      </c>
      <c r="G16" s="410">
        <v>1</v>
      </c>
      <c r="H16" s="73">
        <f>D16*F16*G16</f>
        <v>7.2359999999999998</v>
      </c>
      <c r="I16" s="411" t="s">
        <v>3</v>
      </c>
      <c r="J16" s="412"/>
      <c r="K16" s="412">
        <f t="shared" ref="K16:K18" si="3">H16</f>
        <v>7.2359999999999998</v>
      </c>
      <c r="L16" s="412"/>
      <c r="M16" s="412"/>
      <c r="N16" s="412"/>
      <c r="O16" s="412"/>
      <c r="P16" s="412"/>
      <c r="Q16" s="412"/>
      <c r="R16" s="73">
        <f t="shared" si="2"/>
        <v>7.2359999999999998</v>
      </c>
    </row>
    <row r="17" spans="2:18" ht="14.4" x14ac:dyDescent="0.25">
      <c r="B17" s="413" t="s">
        <v>567</v>
      </c>
      <c r="C17" s="408"/>
      <c r="D17" s="409">
        <v>2</v>
      </c>
      <c r="E17" s="409"/>
      <c r="F17" s="425">
        <v>1.8</v>
      </c>
      <c r="G17" s="410">
        <v>1</v>
      </c>
      <c r="H17" s="73">
        <f>D17*F17*G17</f>
        <v>3.6</v>
      </c>
      <c r="I17" s="411" t="s">
        <v>3</v>
      </c>
      <c r="J17" s="412"/>
      <c r="K17" s="412">
        <f t="shared" si="3"/>
        <v>3.6</v>
      </c>
      <c r="L17" s="412"/>
      <c r="M17" s="412"/>
      <c r="N17" s="412"/>
      <c r="O17" s="412"/>
      <c r="P17" s="412"/>
      <c r="Q17" s="412"/>
      <c r="R17" s="73">
        <f t="shared" si="2"/>
        <v>3.6</v>
      </c>
    </row>
    <row r="18" spans="2:18" ht="14.4" x14ac:dyDescent="0.25">
      <c r="B18" s="413" t="s">
        <v>568</v>
      </c>
      <c r="C18" s="408"/>
      <c r="D18" s="409">
        <v>2</v>
      </c>
      <c r="E18" s="409"/>
      <c r="F18" s="425">
        <v>1.8</v>
      </c>
      <c r="G18" s="410">
        <v>1</v>
      </c>
      <c r="H18" s="73">
        <f>D18*F18*G18</f>
        <v>3.6</v>
      </c>
      <c r="I18" s="411" t="s">
        <v>3</v>
      </c>
      <c r="J18" s="412"/>
      <c r="K18" s="412">
        <f t="shared" si="3"/>
        <v>3.6</v>
      </c>
      <c r="L18" s="412"/>
      <c r="M18" s="412"/>
      <c r="N18" s="412"/>
      <c r="O18" s="412"/>
      <c r="P18" s="412"/>
      <c r="Q18" s="412"/>
      <c r="R18" s="73">
        <f t="shared" si="2"/>
        <v>3.6</v>
      </c>
    </row>
    <row r="19" spans="2:18" ht="14.4" x14ac:dyDescent="0.25">
      <c r="B19" s="233" t="s">
        <v>165</v>
      </c>
      <c r="C19" s="408"/>
      <c r="D19" s="409">
        <v>4.2300000000000004</v>
      </c>
      <c r="E19" s="409"/>
      <c r="F19" s="425">
        <v>1.8</v>
      </c>
      <c r="G19" s="410">
        <v>1</v>
      </c>
      <c r="H19" s="73">
        <f t="shared" ref="H19:H32" si="4">D19*F19*G19</f>
        <v>7.6140000000000008</v>
      </c>
      <c r="I19" s="411" t="s">
        <v>3</v>
      </c>
      <c r="J19" s="412"/>
      <c r="K19" s="412"/>
      <c r="L19" s="412">
        <f>H19</f>
        <v>7.6140000000000008</v>
      </c>
      <c r="M19" s="412"/>
      <c r="N19" s="412"/>
      <c r="O19" s="412"/>
      <c r="P19" s="412"/>
      <c r="Q19" s="412"/>
      <c r="R19" s="73">
        <f t="shared" si="2"/>
        <v>7.6140000000000008</v>
      </c>
    </row>
    <row r="20" spans="2:18" ht="14.4" x14ac:dyDescent="0.25">
      <c r="B20" s="233" t="s">
        <v>166</v>
      </c>
      <c r="C20" s="408"/>
      <c r="D20" s="409">
        <v>4.2300000000000004</v>
      </c>
      <c r="E20" s="409"/>
      <c r="F20" s="425">
        <v>1.8</v>
      </c>
      <c r="G20" s="410">
        <v>1</v>
      </c>
      <c r="H20" s="73">
        <f t="shared" si="4"/>
        <v>7.6140000000000008</v>
      </c>
      <c r="I20" s="411" t="s">
        <v>3</v>
      </c>
      <c r="J20" s="412"/>
      <c r="K20" s="412"/>
      <c r="L20" s="412">
        <f t="shared" ref="L20:L24" si="5">H20</f>
        <v>7.6140000000000008</v>
      </c>
      <c r="M20" s="412"/>
      <c r="N20" s="412"/>
      <c r="O20" s="412"/>
      <c r="P20" s="412"/>
      <c r="Q20" s="412"/>
      <c r="R20" s="73">
        <f t="shared" si="2"/>
        <v>7.6140000000000008</v>
      </c>
    </row>
    <row r="21" spans="2:18" ht="14.4" x14ac:dyDescent="0.25">
      <c r="B21" s="233" t="s">
        <v>585</v>
      </c>
      <c r="C21" s="408"/>
      <c r="D21" s="409">
        <v>0.9</v>
      </c>
      <c r="E21" s="409"/>
      <c r="F21" s="425">
        <v>1.8</v>
      </c>
      <c r="G21" s="410">
        <v>1</v>
      </c>
      <c r="H21" s="73">
        <f t="shared" si="4"/>
        <v>1.62</v>
      </c>
      <c r="I21" s="411" t="s">
        <v>3</v>
      </c>
      <c r="J21" s="412"/>
      <c r="K21" s="412"/>
      <c r="L21" s="412">
        <f t="shared" si="5"/>
        <v>1.62</v>
      </c>
      <c r="M21" s="412"/>
      <c r="N21" s="412"/>
      <c r="O21" s="412"/>
      <c r="P21" s="412"/>
      <c r="Q21" s="412"/>
      <c r="R21" s="73">
        <f t="shared" si="2"/>
        <v>1.62</v>
      </c>
    </row>
    <row r="22" spans="2:18" ht="14.4" x14ac:dyDescent="0.25">
      <c r="B22" s="233" t="s">
        <v>586</v>
      </c>
      <c r="C22" s="408"/>
      <c r="D22" s="409">
        <v>0.9</v>
      </c>
      <c r="E22" s="409"/>
      <c r="F22" s="425">
        <v>1.8</v>
      </c>
      <c r="G22" s="410">
        <v>1</v>
      </c>
      <c r="H22" s="73">
        <f t="shared" si="4"/>
        <v>1.62</v>
      </c>
      <c r="I22" s="411" t="s">
        <v>3</v>
      </c>
      <c r="J22" s="412"/>
      <c r="K22" s="412"/>
      <c r="L22" s="412">
        <f t="shared" si="5"/>
        <v>1.62</v>
      </c>
      <c r="M22" s="412"/>
      <c r="N22" s="412"/>
      <c r="O22" s="412"/>
      <c r="P22" s="412"/>
      <c r="Q22" s="412"/>
      <c r="R22" s="73">
        <f t="shared" si="2"/>
        <v>1.62</v>
      </c>
    </row>
    <row r="23" spans="2:18" ht="14.4" x14ac:dyDescent="0.25">
      <c r="B23" s="233" t="s">
        <v>587</v>
      </c>
      <c r="C23" s="408"/>
      <c r="D23" s="409">
        <v>13.74</v>
      </c>
      <c r="E23" s="409"/>
      <c r="F23" s="425">
        <v>1.8</v>
      </c>
      <c r="G23" s="410">
        <v>1</v>
      </c>
      <c r="H23" s="73">
        <f t="shared" si="4"/>
        <v>24.731999999999999</v>
      </c>
      <c r="I23" s="411" t="s">
        <v>3</v>
      </c>
      <c r="J23" s="412"/>
      <c r="K23" s="412"/>
      <c r="L23" s="412">
        <f t="shared" si="5"/>
        <v>24.731999999999999</v>
      </c>
      <c r="M23" s="412"/>
      <c r="N23" s="412"/>
      <c r="O23" s="412"/>
      <c r="P23" s="412"/>
      <c r="Q23" s="412"/>
      <c r="R23" s="73">
        <f t="shared" si="2"/>
        <v>24.731999999999999</v>
      </c>
    </row>
    <row r="24" spans="2:18" ht="14.4" x14ac:dyDescent="0.25">
      <c r="B24" s="233" t="s">
        <v>588</v>
      </c>
      <c r="C24" s="408"/>
      <c r="D24" s="409">
        <v>15.3</v>
      </c>
      <c r="E24" s="409"/>
      <c r="F24" s="425">
        <v>1.8</v>
      </c>
      <c r="G24" s="410">
        <v>1</v>
      </c>
      <c r="H24" s="73">
        <f t="shared" si="4"/>
        <v>27.540000000000003</v>
      </c>
      <c r="I24" s="411" t="s">
        <v>3</v>
      </c>
      <c r="J24" s="412"/>
      <c r="K24" s="412"/>
      <c r="L24" s="412">
        <f t="shared" si="5"/>
        <v>27.540000000000003</v>
      </c>
      <c r="M24" s="412"/>
      <c r="N24" s="412"/>
      <c r="O24" s="412"/>
      <c r="P24" s="412"/>
      <c r="Q24" s="412"/>
      <c r="R24" s="73">
        <f t="shared" si="2"/>
        <v>27.540000000000003</v>
      </c>
    </row>
    <row r="25" spans="2:18" ht="14.4" x14ac:dyDescent="0.25">
      <c r="B25" s="457" t="s">
        <v>251</v>
      </c>
      <c r="C25" s="408"/>
      <c r="D25" s="409">
        <v>0.8</v>
      </c>
      <c r="E25" s="409"/>
      <c r="F25" s="425">
        <v>1.8</v>
      </c>
      <c r="G25" s="410">
        <v>1</v>
      </c>
      <c r="H25" s="73">
        <f t="shared" si="4"/>
        <v>1.4400000000000002</v>
      </c>
      <c r="I25" s="411" t="s">
        <v>3</v>
      </c>
      <c r="J25" s="412"/>
      <c r="K25" s="412"/>
      <c r="L25" s="412"/>
      <c r="M25" s="412">
        <f>H25</f>
        <v>1.4400000000000002</v>
      </c>
      <c r="N25" s="412"/>
      <c r="O25" s="412"/>
      <c r="P25" s="412"/>
      <c r="Q25" s="412"/>
      <c r="R25" s="73">
        <f t="shared" si="2"/>
        <v>1.4400000000000002</v>
      </c>
    </row>
    <row r="26" spans="2:18" ht="14.4" x14ac:dyDescent="0.25">
      <c r="B26" s="457" t="s">
        <v>251</v>
      </c>
      <c r="C26" s="408"/>
      <c r="D26" s="409">
        <v>0.8</v>
      </c>
      <c r="E26" s="409"/>
      <c r="F26" s="425">
        <v>1.8</v>
      </c>
      <c r="G26" s="410">
        <v>1</v>
      </c>
      <c r="H26" s="73">
        <f t="shared" si="4"/>
        <v>1.4400000000000002</v>
      </c>
      <c r="I26" s="411" t="s">
        <v>3</v>
      </c>
      <c r="J26" s="412"/>
      <c r="K26" s="412"/>
      <c r="L26" s="412"/>
      <c r="M26" s="412">
        <f>H26</f>
        <v>1.4400000000000002</v>
      </c>
      <c r="N26" s="412"/>
      <c r="O26" s="412"/>
      <c r="P26" s="412"/>
      <c r="Q26" s="412"/>
      <c r="R26" s="73">
        <f t="shared" si="2"/>
        <v>1.4400000000000002</v>
      </c>
    </row>
    <row r="27" spans="2:18" ht="14.4" x14ac:dyDescent="0.25">
      <c r="B27" s="413" t="s">
        <v>577</v>
      </c>
      <c r="C27" s="408"/>
      <c r="D27" s="409">
        <v>5.94</v>
      </c>
      <c r="E27" s="409"/>
      <c r="F27" s="425">
        <v>1.8</v>
      </c>
      <c r="G27" s="410">
        <v>1</v>
      </c>
      <c r="H27" s="73">
        <f t="shared" si="4"/>
        <v>10.692</v>
      </c>
      <c r="I27" s="411" t="s">
        <v>3</v>
      </c>
      <c r="J27" s="412"/>
      <c r="K27" s="412"/>
      <c r="L27" s="412"/>
      <c r="M27" s="412"/>
      <c r="N27" s="412"/>
      <c r="O27" s="412">
        <f t="shared" ref="O27:O30" si="6">H27</f>
        <v>10.692</v>
      </c>
      <c r="P27" s="412"/>
      <c r="Q27" s="412"/>
      <c r="R27" s="73">
        <f t="shared" si="2"/>
        <v>10.692</v>
      </c>
    </row>
    <row r="28" spans="2:18" ht="14.4" x14ac:dyDescent="0.25">
      <c r="B28" s="413" t="s">
        <v>277</v>
      </c>
      <c r="C28" s="408"/>
      <c r="D28" s="409">
        <v>5.94</v>
      </c>
      <c r="E28" s="409"/>
      <c r="F28" s="425">
        <v>1.8</v>
      </c>
      <c r="G28" s="410">
        <v>1</v>
      </c>
      <c r="H28" s="73">
        <f t="shared" si="4"/>
        <v>10.692</v>
      </c>
      <c r="I28" s="411" t="s">
        <v>3</v>
      </c>
      <c r="J28" s="412"/>
      <c r="K28" s="412"/>
      <c r="L28" s="412"/>
      <c r="M28" s="412"/>
      <c r="N28" s="412"/>
      <c r="O28" s="412">
        <f t="shared" si="6"/>
        <v>10.692</v>
      </c>
      <c r="P28" s="412"/>
      <c r="Q28" s="412"/>
      <c r="R28" s="73">
        <f t="shared" si="2"/>
        <v>10.692</v>
      </c>
    </row>
    <row r="29" spans="2:18" ht="14.4" x14ac:dyDescent="0.25">
      <c r="B29" s="157" t="s">
        <v>578</v>
      </c>
      <c r="C29" s="408"/>
      <c r="D29" s="409">
        <v>0.6</v>
      </c>
      <c r="E29" s="409"/>
      <c r="F29" s="425">
        <v>1.8</v>
      </c>
      <c r="G29" s="410">
        <v>1</v>
      </c>
      <c r="H29" s="73">
        <f t="shared" si="4"/>
        <v>1.08</v>
      </c>
      <c r="I29" s="411" t="s">
        <v>3</v>
      </c>
      <c r="J29" s="412"/>
      <c r="K29" s="412"/>
      <c r="L29" s="412"/>
      <c r="M29" s="412"/>
      <c r="N29" s="412"/>
      <c r="O29" s="412">
        <f t="shared" si="6"/>
        <v>1.08</v>
      </c>
      <c r="P29" s="412"/>
      <c r="Q29" s="412"/>
      <c r="R29" s="73">
        <f t="shared" si="2"/>
        <v>1.08</v>
      </c>
    </row>
    <row r="30" spans="2:18" ht="14.4" x14ac:dyDescent="0.25">
      <c r="B30" s="157" t="s">
        <v>579</v>
      </c>
      <c r="C30" s="408"/>
      <c r="D30" s="409">
        <v>0.6</v>
      </c>
      <c r="E30" s="409"/>
      <c r="F30" s="425">
        <v>1.8</v>
      </c>
      <c r="G30" s="410">
        <v>1</v>
      </c>
      <c r="H30" s="73">
        <f t="shared" si="4"/>
        <v>1.08</v>
      </c>
      <c r="I30" s="411" t="s">
        <v>3</v>
      </c>
      <c r="J30" s="412"/>
      <c r="K30" s="412"/>
      <c r="L30" s="412"/>
      <c r="M30" s="412"/>
      <c r="N30" s="412"/>
      <c r="O30" s="412">
        <f t="shared" si="6"/>
        <v>1.08</v>
      </c>
      <c r="P30" s="412"/>
      <c r="Q30" s="412"/>
      <c r="R30" s="73">
        <f t="shared" si="2"/>
        <v>1.08</v>
      </c>
    </row>
    <row r="31" spans="2:18" ht="14.4" x14ac:dyDescent="0.25">
      <c r="B31" s="413" t="s">
        <v>570</v>
      </c>
      <c r="C31" s="408"/>
      <c r="D31" s="409">
        <v>0.8</v>
      </c>
      <c r="E31" s="409"/>
      <c r="F31" s="425">
        <v>1.8</v>
      </c>
      <c r="G31" s="410">
        <v>1</v>
      </c>
      <c r="H31" s="73">
        <f t="shared" si="4"/>
        <v>1.4400000000000002</v>
      </c>
      <c r="I31" s="411" t="s">
        <v>3</v>
      </c>
      <c r="J31" s="412"/>
      <c r="K31" s="412"/>
      <c r="L31" s="412"/>
      <c r="M31" s="412"/>
      <c r="N31" s="412"/>
      <c r="O31" s="412"/>
      <c r="P31" s="412">
        <f>H31</f>
        <v>1.4400000000000002</v>
      </c>
      <c r="Q31" s="412"/>
      <c r="R31" s="73">
        <f t="shared" si="2"/>
        <v>1.4400000000000002</v>
      </c>
    </row>
    <row r="32" spans="2:18" ht="14.4" x14ac:dyDescent="0.25">
      <c r="B32" s="413" t="s">
        <v>571</v>
      </c>
      <c r="C32" s="408"/>
      <c r="D32" s="409">
        <v>0.8</v>
      </c>
      <c r="E32" s="409"/>
      <c r="F32" s="425">
        <v>1.8</v>
      </c>
      <c r="G32" s="410">
        <v>1</v>
      </c>
      <c r="H32" s="73">
        <f t="shared" si="4"/>
        <v>1.4400000000000002</v>
      </c>
      <c r="I32" s="411" t="s">
        <v>3</v>
      </c>
      <c r="J32" s="412"/>
      <c r="K32" s="412"/>
      <c r="L32" s="412"/>
      <c r="M32" s="412"/>
      <c r="N32" s="412"/>
      <c r="O32" s="412"/>
      <c r="P32" s="412">
        <f t="shared" ref="P32" si="7">H32</f>
        <v>1.4400000000000002</v>
      </c>
      <c r="Q32" s="412"/>
      <c r="R32" s="73">
        <f t="shared" si="2"/>
        <v>1.4400000000000002</v>
      </c>
    </row>
    <row r="33" spans="2:18" ht="14.4" x14ac:dyDescent="0.3">
      <c r="B33" s="414" t="s">
        <v>27</v>
      </c>
      <c r="C33" s="415"/>
      <c r="D33" s="416"/>
      <c r="E33" s="417"/>
      <c r="F33" s="417"/>
      <c r="G33" s="418"/>
      <c r="H33" s="312"/>
      <c r="I33" s="419" t="s">
        <v>3</v>
      </c>
      <c r="J33" s="420"/>
      <c r="K33" s="420"/>
      <c r="L33" s="420"/>
      <c r="M33" s="420"/>
      <c r="N33" s="420"/>
      <c r="O33" s="420"/>
      <c r="P33" s="420"/>
      <c r="Q33" s="420"/>
      <c r="R33" s="421">
        <f>SUM(R11:R32)</f>
        <v>150.58800000000005</v>
      </c>
    </row>
    <row r="34" spans="2:18" ht="24" x14ac:dyDescent="0.25">
      <c r="B34" s="402" t="s">
        <v>574</v>
      </c>
      <c r="C34" s="184"/>
      <c r="D34" s="184"/>
      <c r="E34" s="184"/>
      <c r="F34" s="184"/>
      <c r="G34" s="184"/>
      <c r="H34" s="184"/>
      <c r="I34" s="403"/>
      <c r="J34" s="164" t="s">
        <v>57</v>
      </c>
      <c r="K34" s="164" t="s">
        <v>204</v>
      </c>
      <c r="L34" s="164" t="s">
        <v>64</v>
      </c>
      <c r="M34" s="164" t="s">
        <v>65</v>
      </c>
      <c r="N34" s="164" t="s">
        <v>66</v>
      </c>
      <c r="O34" s="164" t="s">
        <v>67</v>
      </c>
      <c r="P34" s="164" t="s">
        <v>68</v>
      </c>
      <c r="Q34" s="164" t="s">
        <v>670</v>
      </c>
      <c r="R34" s="183"/>
    </row>
    <row r="35" spans="2:18" ht="14.4" x14ac:dyDescent="0.25">
      <c r="B35" s="834" t="s">
        <v>156</v>
      </c>
      <c r="C35" s="189" t="s">
        <v>0</v>
      </c>
      <c r="D35" s="404" t="s">
        <v>12</v>
      </c>
      <c r="E35" s="404" t="s">
        <v>4</v>
      </c>
      <c r="F35" s="404" t="s">
        <v>2</v>
      </c>
      <c r="G35" s="404" t="s">
        <v>6</v>
      </c>
      <c r="H35" s="446" t="s">
        <v>5</v>
      </c>
      <c r="I35" s="836" t="s">
        <v>154</v>
      </c>
      <c r="J35" s="831" t="s">
        <v>50</v>
      </c>
      <c r="K35" s="830" t="s">
        <v>93</v>
      </c>
      <c r="L35" s="830" t="s">
        <v>94</v>
      </c>
      <c r="M35" s="830" t="s">
        <v>95</v>
      </c>
      <c r="N35" s="830" t="s">
        <v>96</v>
      </c>
      <c r="O35" s="830" t="s">
        <v>97</v>
      </c>
      <c r="P35" s="830" t="s">
        <v>98</v>
      </c>
      <c r="Q35" s="830" t="s">
        <v>646</v>
      </c>
      <c r="R35" s="833" t="s">
        <v>8</v>
      </c>
    </row>
    <row r="36" spans="2:18" ht="14.4" x14ac:dyDescent="0.3">
      <c r="B36" s="834"/>
      <c r="C36" s="405" t="s">
        <v>9</v>
      </c>
      <c r="D36" s="406" t="s">
        <v>10</v>
      </c>
      <c r="E36" s="406" t="s">
        <v>10</v>
      </c>
      <c r="F36" s="406" t="s">
        <v>10</v>
      </c>
      <c r="G36" s="405" t="s">
        <v>9</v>
      </c>
      <c r="H36" s="458" t="s">
        <v>11</v>
      </c>
      <c r="I36" s="836"/>
      <c r="J36" s="830"/>
      <c r="K36" s="837"/>
      <c r="L36" s="837"/>
      <c r="M36" s="837"/>
      <c r="N36" s="837"/>
      <c r="O36" s="837"/>
      <c r="P36" s="837"/>
      <c r="Q36" s="831"/>
      <c r="R36" s="833"/>
    </row>
    <row r="37" spans="2:18" ht="14.4" x14ac:dyDescent="0.25">
      <c r="B37" s="157" t="s">
        <v>589</v>
      </c>
      <c r="C37" s="451"/>
      <c r="D37" s="451">
        <v>1.4</v>
      </c>
      <c r="E37" s="451"/>
      <c r="F37" s="451">
        <v>1.8</v>
      </c>
      <c r="G37" s="456">
        <v>1</v>
      </c>
      <c r="H37" s="453">
        <f t="shared" ref="H37:H46" si="8">D37*F37*G37</f>
        <v>2.52</v>
      </c>
      <c r="I37" s="449" t="s">
        <v>3</v>
      </c>
      <c r="J37" s="451"/>
      <c r="K37" s="451">
        <f>H37</f>
        <v>2.52</v>
      </c>
      <c r="L37" s="451"/>
      <c r="M37" s="451"/>
      <c r="N37" s="451"/>
      <c r="O37" s="451"/>
      <c r="P37" s="451"/>
      <c r="Q37" s="453"/>
      <c r="R37" s="453">
        <f>SUM(J37:Q37)</f>
        <v>2.52</v>
      </c>
    </row>
    <row r="38" spans="2:18" ht="14.4" x14ac:dyDescent="0.25">
      <c r="B38" s="157" t="s">
        <v>580</v>
      </c>
      <c r="C38" s="451"/>
      <c r="D38" s="451">
        <v>1.2</v>
      </c>
      <c r="E38" s="451"/>
      <c r="F38" s="451">
        <v>1.8</v>
      </c>
      <c r="G38" s="456">
        <v>1</v>
      </c>
      <c r="H38" s="453">
        <f t="shared" si="8"/>
        <v>2.16</v>
      </c>
      <c r="I38" s="449" t="s">
        <v>3</v>
      </c>
      <c r="J38" s="451"/>
      <c r="K38" s="451">
        <f>H38</f>
        <v>2.16</v>
      </c>
      <c r="L38" s="451"/>
      <c r="M38" s="451"/>
      <c r="N38" s="451"/>
      <c r="O38" s="451"/>
      <c r="P38" s="451"/>
      <c r="Q38" s="453"/>
      <c r="R38" s="453">
        <f t="shared" ref="R38:R49" si="9">SUM(J38:Q38)</f>
        <v>2.16</v>
      </c>
    </row>
    <row r="39" spans="2:18" ht="14.4" x14ac:dyDescent="0.25">
      <c r="B39" s="157" t="s">
        <v>583</v>
      </c>
      <c r="C39" s="451"/>
      <c r="D39" s="451">
        <v>1.38</v>
      </c>
      <c r="E39" s="451"/>
      <c r="F39" s="451">
        <v>1.8</v>
      </c>
      <c r="G39" s="456">
        <v>1</v>
      </c>
      <c r="H39" s="453">
        <f t="shared" si="8"/>
        <v>2.484</v>
      </c>
      <c r="I39" s="449" t="s">
        <v>3</v>
      </c>
      <c r="J39" s="451"/>
      <c r="K39" s="451"/>
      <c r="L39" s="451"/>
      <c r="M39" s="451">
        <f>H39</f>
        <v>2.484</v>
      </c>
      <c r="N39" s="451"/>
      <c r="O39" s="451"/>
      <c r="P39" s="451"/>
      <c r="Q39" s="453"/>
      <c r="R39" s="453">
        <f t="shared" si="9"/>
        <v>2.484</v>
      </c>
    </row>
    <row r="40" spans="2:18" ht="14.4" x14ac:dyDescent="0.25">
      <c r="B40" s="157" t="s">
        <v>584</v>
      </c>
      <c r="C40" s="451"/>
      <c r="D40" s="451">
        <v>1.38</v>
      </c>
      <c r="E40" s="451"/>
      <c r="F40" s="451">
        <v>1.8</v>
      </c>
      <c r="G40" s="456">
        <v>1</v>
      </c>
      <c r="H40" s="453">
        <f t="shared" si="8"/>
        <v>2.484</v>
      </c>
      <c r="I40" s="449" t="s">
        <v>3</v>
      </c>
      <c r="J40" s="451"/>
      <c r="K40" s="451"/>
      <c r="L40" s="451"/>
      <c r="M40" s="451">
        <f>H40</f>
        <v>2.484</v>
      </c>
      <c r="N40" s="451"/>
      <c r="O40" s="451"/>
      <c r="P40" s="451"/>
      <c r="Q40" s="453"/>
      <c r="R40" s="453">
        <f t="shared" si="9"/>
        <v>2.484</v>
      </c>
    </row>
    <row r="41" spans="2:18" ht="14.4" x14ac:dyDescent="0.25">
      <c r="B41" s="413" t="s">
        <v>580</v>
      </c>
      <c r="C41" s="451"/>
      <c r="D41" s="451">
        <v>1.3</v>
      </c>
      <c r="E41" s="451"/>
      <c r="F41" s="451">
        <v>1.8</v>
      </c>
      <c r="G41" s="456">
        <v>1</v>
      </c>
      <c r="H41" s="453">
        <f t="shared" si="8"/>
        <v>2.3400000000000003</v>
      </c>
      <c r="I41" s="449" t="s">
        <v>3</v>
      </c>
      <c r="J41" s="451"/>
      <c r="K41" s="451"/>
      <c r="L41" s="451"/>
      <c r="M41" s="451"/>
      <c r="N41" s="451">
        <f>H41</f>
        <v>2.3400000000000003</v>
      </c>
      <c r="O41" s="451"/>
      <c r="P41" s="451"/>
      <c r="Q41" s="453"/>
      <c r="R41" s="453">
        <f t="shared" si="9"/>
        <v>2.3400000000000003</v>
      </c>
    </row>
    <row r="42" spans="2:18" ht="14.4" x14ac:dyDescent="0.25">
      <c r="B42" s="157" t="s">
        <v>213</v>
      </c>
      <c r="C42" s="451"/>
      <c r="D42" s="451">
        <v>1.2</v>
      </c>
      <c r="E42" s="451"/>
      <c r="F42" s="451">
        <v>1.8</v>
      </c>
      <c r="G42" s="456">
        <v>2</v>
      </c>
      <c r="H42" s="453">
        <f t="shared" si="8"/>
        <v>4.32</v>
      </c>
      <c r="I42" s="449" t="s">
        <v>3</v>
      </c>
      <c r="J42" s="451"/>
      <c r="K42" s="451"/>
      <c r="L42" s="451"/>
      <c r="M42" s="451"/>
      <c r="N42" s="451">
        <f>H42</f>
        <v>4.32</v>
      </c>
      <c r="O42" s="451"/>
      <c r="P42" s="451"/>
      <c r="Q42" s="453"/>
      <c r="R42" s="453">
        <f t="shared" si="9"/>
        <v>4.32</v>
      </c>
    </row>
    <row r="43" spans="2:18" ht="14.4" x14ac:dyDescent="0.25">
      <c r="B43" s="366" t="s">
        <v>581</v>
      </c>
      <c r="C43" s="451"/>
      <c r="D43" s="451">
        <v>1.3</v>
      </c>
      <c r="E43" s="451"/>
      <c r="F43" s="451">
        <v>1.8</v>
      </c>
      <c r="G43" s="456">
        <v>1</v>
      </c>
      <c r="H43" s="453">
        <f t="shared" si="8"/>
        <v>2.3400000000000003</v>
      </c>
      <c r="I43" s="449" t="s">
        <v>3</v>
      </c>
      <c r="J43" s="451"/>
      <c r="K43" s="451"/>
      <c r="L43" s="451"/>
      <c r="M43" s="451"/>
      <c r="N43" s="451">
        <f t="shared" ref="N43:N44" si="10">H43</f>
        <v>2.3400000000000003</v>
      </c>
      <c r="O43" s="451"/>
      <c r="P43" s="451"/>
      <c r="Q43" s="453"/>
      <c r="R43" s="453">
        <f t="shared" si="9"/>
        <v>2.3400000000000003</v>
      </c>
    </row>
    <row r="44" spans="2:18" ht="14.4" x14ac:dyDescent="0.25">
      <c r="B44" s="366" t="s">
        <v>582</v>
      </c>
      <c r="C44" s="451"/>
      <c r="D44" s="451">
        <v>1.3</v>
      </c>
      <c r="E44" s="451"/>
      <c r="F44" s="451">
        <v>1.8</v>
      </c>
      <c r="G44" s="456">
        <v>1</v>
      </c>
      <c r="H44" s="453">
        <f t="shared" si="8"/>
        <v>2.3400000000000003</v>
      </c>
      <c r="I44" s="449" t="s">
        <v>3</v>
      </c>
      <c r="J44" s="451"/>
      <c r="K44" s="451"/>
      <c r="L44" s="451"/>
      <c r="M44" s="451"/>
      <c r="N44" s="451">
        <f t="shared" si="10"/>
        <v>2.3400000000000003</v>
      </c>
      <c r="O44" s="451"/>
      <c r="P44" s="451"/>
      <c r="Q44" s="453"/>
      <c r="R44" s="453">
        <f t="shared" si="9"/>
        <v>2.3400000000000003</v>
      </c>
    </row>
    <row r="45" spans="2:18" ht="14.4" x14ac:dyDescent="0.25">
      <c r="B45" s="413" t="s">
        <v>575</v>
      </c>
      <c r="C45" s="451"/>
      <c r="D45" s="451">
        <v>1.3</v>
      </c>
      <c r="E45" s="451"/>
      <c r="F45" s="451">
        <v>1.8</v>
      </c>
      <c r="G45" s="456">
        <v>1</v>
      </c>
      <c r="H45" s="453">
        <f t="shared" si="8"/>
        <v>2.3400000000000003</v>
      </c>
      <c r="I45" s="449" t="s">
        <v>3</v>
      </c>
      <c r="J45" s="451"/>
      <c r="K45" s="451"/>
      <c r="L45" s="451"/>
      <c r="M45" s="451"/>
      <c r="N45" s="451"/>
      <c r="O45" s="451">
        <f>H45</f>
        <v>2.3400000000000003</v>
      </c>
      <c r="P45" s="451"/>
      <c r="Q45" s="453"/>
      <c r="R45" s="453">
        <f t="shared" si="9"/>
        <v>2.3400000000000003</v>
      </c>
    </row>
    <row r="46" spans="2:18" ht="14.4" x14ac:dyDescent="0.25">
      <c r="B46" s="413" t="s">
        <v>576</v>
      </c>
      <c r="C46" s="451"/>
      <c r="D46" s="451">
        <v>1.3</v>
      </c>
      <c r="E46" s="451"/>
      <c r="F46" s="451">
        <v>1.8</v>
      </c>
      <c r="G46" s="456">
        <v>1</v>
      </c>
      <c r="H46" s="453">
        <f t="shared" si="8"/>
        <v>2.3400000000000003</v>
      </c>
      <c r="I46" s="449" t="s">
        <v>3</v>
      </c>
      <c r="J46" s="451"/>
      <c r="K46" s="451"/>
      <c r="L46" s="451"/>
      <c r="M46" s="451"/>
      <c r="N46" s="451"/>
      <c r="O46" s="451">
        <f>H46</f>
        <v>2.3400000000000003</v>
      </c>
      <c r="P46" s="451"/>
      <c r="Q46" s="453"/>
      <c r="R46" s="453">
        <f t="shared" si="9"/>
        <v>2.3400000000000003</v>
      </c>
    </row>
    <row r="47" spans="2:18" ht="14.4" x14ac:dyDescent="0.25">
      <c r="B47" s="413" t="s">
        <v>572</v>
      </c>
      <c r="C47" s="447"/>
      <c r="D47" s="447">
        <v>1.55</v>
      </c>
      <c r="E47" s="447"/>
      <c r="F47" s="452">
        <v>1.8</v>
      </c>
      <c r="G47" s="448">
        <v>1</v>
      </c>
      <c r="H47" s="453">
        <f t="shared" ref="H47" si="11">D47*F47*G47</f>
        <v>2.79</v>
      </c>
      <c r="I47" s="449" t="s">
        <v>3</v>
      </c>
      <c r="J47" s="454"/>
      <c r="K47" s="454"/>
      <c r="L47" s="454"/>
      <c r="M47" s="454"/>
      <c r="N47" s="454"/>
      <c r="O47" s="454"/>
      <c r="P47" s="454">
        <f t="shared" ref="P47:P48" si="12">H47</f>
        <v>2.79</v>
      </c>
      <c r="Q47" s="454"/>
      <c r="R47" s="453">
        <f t="shared" si="9"/>
        <v>2.79</v>
      </c>
    </row>
    <row r="48" spans="2:18" ht="14.4" x14ac:dyDescent="0.25">
      <c r="B48" s="413" t="s">
        <v>573</v>
      </c>
      <c r="C48" s="409"/>
      <c r="D48" s="409">
        <v>1.55</v>
      </c>
      <c r="E48" s="409"/>
      <c r="F48" s="409">
        <v>1.8</v>
      </c>
      <c r="G48" s="410">
        <v>1</v>
      </c>
      <c r="H48" s="451">
        <f>D48*F48*G48</f>
        <v>2.79</v>
      </c>
      <c r="I48" s="450" t="s">
        <v>3</v>
      </c>
      <c r="J48" s="455"/>
      <c r="K48" s="455"/>
      <c r="L48" s="455"/>
      <c r="M48" s="455"/>
      <c r="N48" s="455"/>
      <c r="O48" s="455"/>
      <c r="P48" s="455">
        <f t="shared" si="12"/>
        <v>2.79</v>
      </c>
      <c r="Q48" s="455"/>
      <c r="R48" s="453">
        <f t="shared" si="9"/>
        <v>2.79</v>
      </c>
    </row>
    <row r="49" spans="2:18" ht="14.4" x14ac:dyDescent="0.25">
      <c r="B49" s="523" t="s">
        <v>213</v>
      </c>
      <c r="C49" s="409"/>
      <c r="D49" s="409">
        <v>1.4</v>
      </c>
      <c r="E49" s="409"/>
      <c r="F49" s="409">
        <v>1.8</v>
      </c>
      <c r="G49" s="410">
        <v>1</v>
      </c>
      <c r="H49" s="451">
        <f>D49*F49*G49</f>
        <v>2.52</v>
      </c>
      <c r="I49" s="450" t="s">
        <v>3</v>
      </c>
      <c r="J49" s="455"/>
      <c r="K49" s="455"/>
      <c r="L49" s="455"/>
      <c r="M49" s="455"/>
      <c r="N49" s="455"/>
      <c r="O49" s="455"/>
      <c r="P49" s="455"/>
      <c r="Q49" s="455">
        <f>H49</f>
        <v>2.52</v>
      </c>
      <c r="R49" s="453">
        <f t="shared" si="9"/>
        <v>2.52</v>
      </c>
    </row>
    <row r="50" spans="2:18" ht="14.4" x14ac:dyDescent="0.3">
      <c r="B50" s="414" t="s">
        <v>27</v>
      </c>
      <c r="C50" s="415"/>
      <c r="D50" s="416"/>
      <c r="E50" s="417"/>
      <c r="F50" s="417"/>
      <c r="G50" s="418"/>
      <c r="H50" s="312"/>
      <c r="I50" s="419" t="s">
        <v>3</v>
      </c>
      <c r="J50" s="420"/>
      <c r="K50" s="420"/>
      <c r="L50" s="420"/>
      <c r="M50" s="420"/>
      <c r="N50" s="420"/>
      <c r="O50" s="420"/>
      <c r="P50" s="420"/>
      <c r="Q50" s="420"/>
      <c r="R50" s="524">
        <f>SUM(R37:R49)</f>
        <v>33.768000000000001</v>
      </c>
    </row>
    <row r="51" spans="2:18" ht="24" x14ac:dyDescent="0.25">
      <c r="B51" s="402" t="s">
        <v>628</v>
      </c>
      <c r="C51" s="184"/>
      <c r="D51" s="184"/>
      <c r="E51" s="184"/>
      <c r="F51" s="184"/>
      <c r="G51" s="184"/>
      <c r="H51" s="184"/>
      <c r="I51" s="403"/>
      <c r="J51" s="164" t="s">
        <v>57</v>
      </c>
      <c r="K51" s="164" t="s">
        <v>204</v>
      </c>
      <c r="L51" s="164" t="s">
        <v>64</v>
      </c>
      <c r="M51" s="164" t="s">
        <v>65</v>
      </c>
      <c r="N51" s="164" t="s">
        <v>66</v>
      </c>
      <c r="O51" s="164" t="s">
        <v>67</v>
      </c>
      <c r="P51" s="164" t="s">
        <v>68</v>
      </c>
      <c r="Q51" s="164" t="s">
        <v>670</v>
      </c>
      <c r="R51" s="183"/>
    </row>
    <row r="52" spans="2:18" ht="14.4" x14ac:dyDescent="0.25">
      <c r="B52" s="834" t="s">
        <v>156</v>
      </c>
      <c r="C52" s="189" t="s">
        <v>0</v>
      </c>
      <c r="D52" s="404" t="s">
        <v>12</v>
      </c>
      <c r="E52" s="404" t="s">
        <v>4</v>
      </c>
      <c r="F52" s="404" t="s">
        <v>2</v>
      </c>
      <c r="G52" s="404" t="s">
        <v>6</v>
      </c>
      <c r="H52" s="191" t="s">
        <v>5</v>
      </c>
      <c r="I52" s="836" t="s">
        <v>154</v>
      </c>
      <c r="J52" s="831" t="s">
        <v>50</v>
      </c>
      <c r="K52" s="830" t="s">
        <v>93</v>
      </c>
      <c r="L52" s="830" t="s">
        <v>94</v>
      </c>
      <c r="M52" s="830" t="s">
        <v>95</v>
      </c>
      <c r="N52" s="830" t="s">
        <v>96</v>
      </c>
      <c r="O52" s="830" t="s">
        <v>97</v>
      </c>
      <c r="P52" s="830" t="s">
        <v>98</v>
      </c>
      <c r="Q52" s="830" t="s">
        <v>646</v>
      </c>
      <c r="R52" s="832" t="s">
        <v>8</v>
      </c>
    </row>
    <row r="53" spans="2:18" ht="14.4" x14ac:dyDescent="0.3">
      <c r="B53" s="835"/>
      <c r="C53" s="405" t="s">
        <v>9</v>
      </c>
      <c r="D53" s="406" t="s">
        <v>10</v>
      </c>
      <c r="E53" s="406" t="s">
        <v>10</v>
      </c>
      <c r="F53" s="406" t="s">
        <v>10</v>
      </c>
      <c r="G53" s="405" t="s">
        <v>9</v>
      </c>
      <c r="H53" s="194" t="s">
        <v>11</v>
      </c>
      <c r="I53" s="836"/>
      <c r="J53" s="830"/>
      <c r="K53" s="831"/>
      <c r="L53" s="831"/>
      <c r="M53" s="831"/>
      <c r="N53" s="831"/>
      <c r="O53" s="831"/>
      <c r="P53" s="831"/>
      <c r="Q53" s="831"/>
      <c r="R53" s="833"/>
    </row>
    <row r="54" spans="2:18" ht="14.4" x14ac:dyDescent="0.3">
      <c r="B54" s="233" t="s">
        <v>235</v>
      </c>
      <c r="C54" s="405"/>
      <c r="D54" s="427">
        <v>4.68</v>
      </c>
      <c r="E54" s="406"/>
      <c r="F54" s="425">
        <v>2.1</v>
      </c>
      <c r="G54" s="426">
        <v>1</v>
      </c>
      <c r="H54" s="73">
        <f t="shared" ref="H54" si="13">D54*F54*G54</f>
        <v>9.8279999999999994</v>
      </c>
      <c r="I54" s="423" t="s">
        <v>3</v>
      </c>
      <c r="J54" s="424"/>
      <c r="K54" s="422"/>
      <c r="L54" s="490">
        <f>H54</f>
        <v>9.8279999999999994</v>
      </c>
      <c r="M54" s="422"/>
      <c r="N54" s="422"/>
      <c r="O54" s="422"/>
      <c r="P54" s="422"/>
      <c r="Q54" s="422"/>
      <c r="R54" s="73">
        <f>SUM(J54:Q54)</f>
        <v>9.8279999999999994</v>
      </c>
    </row>
    <row r="55" spans="2:18" ht="14.4" x14ac:dyDescent="0.3">
      <c r="B55" s="233"/>
      <c r="C55" s="405"/>
      <c r="D55" s="427"/>
      <c r="E55" s="406"/>
      <c r="F55" s="425"/>
      <c r="G55" s="426"/>
      <c r="H55" s="73"/>
      <c r="I55" s="423"/>
      <c r="J55" s="424"/>
      <c r="K55" s="422"/>
      <c r="L55" s="422"/>
      <c r="M55" s="422"/>
      <c r="N55" s="422"/>
      <c r="O55" s="422"/>
      <c r="P55" s="422"/>
      <c r="Q55" s="422"/>
      <c r="R55" s="73"/>
    </row>
    <row r="56" spans="2:18" ht="14.4" x14ac:dyDescent="0.3">
      <c r="B56" s="414" t="s">
        <v>27</v>
      </c>
      <c r="C56" s="415"/>
      <c r="D56" s="416"/>
      <c r="E56" s="417"/>
      <c r="F56" s="417"/>
      <c r="G56" s="418"/>
      <c r="H56" s="312"/>
      <c r="I56" s="419" t="s">
        <v>3</v>
      </c>
      <c r="J56" s="420"/>
      <c r="K56" s="420"/>
      <c r="L56" s="420"/>
      <c r="M56" s="420"/>
      <c r="N56" s="420"/>
      <c r="O56" s="420"/>
      <c r="P56" s="420"/>
      <c r="Q56" s="420"/>
      <c r="R56" s="421">
        <f>SUM(R54:R55)</f>
        <v>9.8279999999999994</v>
      </c>
    </row>
  </sheetData>
  <mergeCells count="33">
    <mergeCell ref="M35:M36"/>
    <mergeCell ref="N35:N36"/>
    <mergeCell ref="O35:O36"/>
    <mergeCell ref="P35:P36"/>
    <mergeCell ref="R35:R36"/>
    <mergeCell ref="Q35:Q36"/>
    <mergeCell ref="B35:B36"/>
    <mergeCell ref="I35:I36"/>
    <mergeCell ref="J35:J36"/>
    <mergeCell ref="K35:K36"/>
    <mergeCell ref="L35:L36"/>
    <mergeCell ref="P9:P10"/>
    <mergeCell ref="B9:B10"/>
    <mergeCell ref="I9:I10"/>
    <mergeCell ref="J9:J10"/>
    <mergeCell ref="R9:R10"/>
    <mergeCell ref="K9:K10"/>
    <mergeCell ref="L9:L10"/>
    <mergeCell ref="M9:M10"/>
    <mergeCell ref="N9:N10"/>
    <mergeCell ref="O9:O10"/>
    <mergeCell ref="Q9:Q10"/>
    <mergeCell ref="B52:B53"/>
    <mergeCell ref="I52:I53"/>
    <mergeCell ref="J52:J53"/>
    <mergeCell ref="K52:K53"/>
    <mergeCell ref="L52:L53"/>
    <mergeCell ref="M52:M53"/>
    <mergeCell ref="N52:N53"/>
    <mergeCell ref="O52:O53"/>
    <mergeCell ref="P52:P53"/>
    <mergeCell ref="R52:R53"/>
    <mergeCell ref="Q52:Q53"/>
  </mergeCells>
  <dataValidations count="1">
    <dataValidation type="list" allowBlank="1" showInputMessage="1" showErrorMessage="1" sqref="H9:H10 H35:H36 H52:H53" xr:uid="{00000000-0002-0000-0100-000000000000}">
      <formula1>"G,T,E,O"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833"/>
  <sheetViews>
    <sheetView topLeftCell="C810" zoomScale="98" zoomScaleNormal="98" workbookViewId="0">
      <selection activeCell="K829" sqref="K829"/>
    </sheetView>
  </sheetViews>
  <sheetFormatPr defaultRowHeight="13.2" x14ac:dyDescent="0.25"/>
  <cols>
    <col min="1" max="1" width="13.77734375" customWidth="1"/>
    <col min="2" max="2" width="38" customWidth="1"/>
    <col min="3" max="3" width="9.77734375" customWidth="1"/>
    <col min="4" max="4" width="9.88671875" customWidth="1"/>
    <col min="6" max="6" width="6.77734375" customWidth="1"/>
    <col min="7" max="7" width="8.77734375" customWidth="1"/>
    <col min="8" max="10" width="9.77734375" customWidth="1"/>
    <col min="11" max="12" width="14.77734375" customWidth="1"/>
    <col min="13" max="13" width="13.5546875" customWidth="1"/>
    <col min="14" max="14" width="14" customWidth="1"/>
    <col min="15" max="15" width="14.109375" customWidth="1"/>
    <col min="16" max="17" width="14.6640625" customWidth="1"/>
  </cols>
  <sheetData>
    <row r="2" spans="1:18" ht="15" customHeight="1" x14ac:dyDescent="0.25">
      <c r="A2" s="149"/>
      <c r="B2" s="152" t="s">
        <v>55</v>
      </c>
      <c r="C2" s="69"/>
    </row>
    <row r="3" spans="1:18" ht="15" customHeight="1" x14ac:dyDescent="0.25">
      <c r="A3" s="149"/>
      <c r="B3" s="152" t="s">
        <v>56</v>
      </c>
      <c r="C3" s="69"/>
    </row>
    <row r="4" spans="1:18" ht="15" customHeight="1" x14ac:dyDescent="0.25">
      <c r="B4" s="154" t="s">
        <v>54</v>
      </c>
      <c r="C4" s="71"/>
      <c r="D4" s="69"/>
      <c r="E4" s="72"/>
      <c r="F4" s="72"/>
      <c r="G4" s="72"/>
      <c r="H4" s="72"/>
      <c r="I4" s="72"/>
    </row>
    <row r="5" spans="1:18" ht="15" customHeight="1" x14ac:dyDescent="0.25">
      <c r="B5" s="154"/>
      <c r="C5" s="71"/>
      <c r="D5" s="69"/>
      <c r="E5" s="72"/>
      <c r="F5" s="72"/>
      <c r="G5" s="72"/>
      <c r="H5" s="72"/>
      <c r="I5" s="72"/>
    </row>
    <row r="6" spans="1:18" ht="15" customHeight="1" x14ac:dyDescent="0.25">
      <c r="B6" s="161" t="s">
        <v>380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</row>
    <row r="7" spans="1:18" ht="15" customHeight="1" x14ac:dyDescent="0.25">
      <c r="B7" s="70"/>
      <c r="C7" s="71"/>
      <c r="D7" s="69"/>
      <c r="E7" s="72"/>
      <c r="F7" s="72"/>
      <c r="G7" s="72"/>
      <c r="H7" s="72"/>
      <c r="I7" s="72"/>
      <c r="L7" s="224">
        <v>1</v>
      </c>
      <c r="M7" s="224">
        <v>4</v>
      </c>
      <c r="N7" s="224">
        <v>5</v>
      </c>
      <c r="O7" s="224">
        <v>6</v>
      </c>
      <c r="P7" s="224">
        <v>3</v>
      </c>
      <c r="Q7" s="224">
        <v>2</v>
      </c>
    </row>
    <row r="8" spans="1:18" ht="15.6" x14ac:dyDescent="0.25">
      <c r="B8" s="36" t="s">
        <v>32</v>
      </c>
      <c r="C8" s="37"/>
      <c r="D8" s="38"/>
      <c r="E8" s="38"/>
      <c r="F8" s="38"/>
      <c r="G8" s="37"/>
      <c r="H8" s="39"/>
      <c r="I8" s="40"/>
      <c r="J8" s="39"/>
      <c r="K8" s="39"/>
      <c r="L8" s="39"/>
      <c r="M8" s="39"/>
      <c r="N8" s="39"/>
      <c r="O8" s="39"/>
      <c r="P8" s="39"/>
      <c r="Q8" s="39"/>
      <c r="R8" s="1"/>
    </row>
    <row r="9" spans="1:18" ht="14.4" x14ac:dyDescent="0.25">
      <c r="B9" s="24" t="s">
        <v>31</v>
      </c>
      <c r="C9" s="25"/>
      <c r="D9" s="26"/>
      <c r="E9" s="26"/>
      <c r="F9" s="26"/>
      <c r="G9" s="25"/>
      <c r="H9" s="27"/>
      <c r="I9" s="28"/>
      <c r="J9" s="27"/>
      <c r="K9" s="27"/>
      <c r="L9" s="27"/>
      <c r="M9" s="27"/>
      <c r="N9" s="27"/>
      <c r="O9" s="27"/>
      <c r="P9" s="27"/>
      <c r="Q9" s="27"/>
      <c r="R9" s="1"/>
    </row>
    <row r="10" spans="1:18" ht="40.049999999999997" customHeight="1" x14ac:dyDescent="0.25">
      <c r="B10" s="843" t="s">
        <v>16</v>
      </c>
      <c r="C10" s="839" t="s">
        <v>17</v>
      </c>
      <c r="D10" s="839" t="s">
        <v>18</v>
      </c>
      <c r="E10" s="839" t="s">
        <v>28</v>
      </c>
      <c r="F10" s="842" t="s">
        <v>19</v>
      </c>
      <c r="G10" s="838" t="s">
        <v>13</v>
      </c>
      <c r="H10" s="838" t="s">
        <v>24</v>
      </c>
      <c r="I10" s="838" t="s">
        <v>45</v>
      </c>
      <c r="J10" s="838" t="s">
        <v>26</v>
      </c>
      <c r="K10" s="844" t="s">
        <v>864</v>
      </c>
      <c r="L10" s="838" t="s">
        <v>69</v>
      </c>
      <c r="M10" s="838" t="s">
        <v>73</v>
      </c>
      <c r="N10" s="838" t="s">
        <v>76</v>
      </c>
      <c r="O10" s="838" t="s">
        <v>77</v>
      </c>
      <c r="P10" s="838" t="s">
        <v>72</v>
      </c>
      <c r="Q10" s="838" t="s">
        <v>70</v>
      </c>
    </row>
    <row r="11" spans="1:18" ht="40.049999999999997" customHeight="1" x14ac:dyDescent="0.25">
      <c r="B11" s="840"/>
      <c r="C11" s="841"/>
      <c r="D11" s="841"/>
      <c r="E11" s="841"/>
      <c r="F11" s="839"/>
      <c r="G11" s="839"/>
      <c r="H11" s="839"/>
      <c r="I11" s="839"/>
      <c r="J11" s="839"/>
      <c r="K11" s="845"/>
      <c r="L11" s="839"/>
      <c r="M11" s="839"/>
      <c r="N11" s="839"/>
      <c r="O11" s="839"/>
      <c r="P11" s="839"/>
      <c r="Q11" s="839"/>
    </row>
    <row r="12" spans="1:18" ht="15.6" x14ac:dyDescent="0.25">
      <c r="A12" s="141" t="s">
        <v>57</v>
      </c>
      <c r="B12" s="558" t="s">
        <v>49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1"/>
    </row>
    <row r="13" spans="1:18" ht="14.4" x14ac:dyDescent="0.25">
      <c r="A13" s="560">
        <v>28.63</v>
      </c>
      <c r="B13" s="220" t="s">
        <v>705</v>
      </c>
      <c r="C13" s="34">
        <f t="shared" ref="C13:C18" si="0">D13*E13*F13-G13</f>
        <v>6.0234999999999967</v>
      </c>
      <c r="D13" s="131">
        <f>22.61-(11.3+7.48)</f>
        <v>3.8299999999999983</v>
      </c>
      <c r="E13" s="131">
        <v>2.4500000000000002</v>
      </c>
      <c r="F13" s="562">
        <v>1</v>
      </c>
      <c r="G13" s="561">
        <v>3.36</v>
      </c>
      <c r="H13" s="561"/>
      <c r="I13" s="561"/>
      <c r="J13" s="561"/>
      <c r="K13" s="561"/>
      <c r="L13" s="131">
        <f>C13</f>
        <v>6.0234999999999967</v>
      </c>
      <c r="M13" s="561"/>
      <c r="N13" s="561"/>
      <c r="O13" s="561"/>
      <c r="P13" s="561"/>
      <c r="Q13" s="561"/>
    </row>
    <row r="14" spans="1:18" ht="14.4" x14ac:dyDescent="0.25">
      <c r="A14" s="559"/>
      <c r="B14" s="157"/>
      <c r="C14" s="34">
        <f t="shared" si="0"/>
        <v>12.866000000000003</v>
      </c>
      <c r="D14" s="131">
        <v>7.48</v>
      </c>
      <c r="E14" s="131">
        <v>2.4500000000000002</v>
      </c>
      <c r="F14" s="562">
        <v>1</v>
      </c>
      <c r="G14" s="561">
        <v>5.46</v>
      </c>
      <c r="H14" s="65">
        <f>C14</f>
        <v>12.866000000000003</v>
      </c>
      <c r="I14" s="42">
        <f>H14-J14</f>
        <v>12.866000000000003</v>
      </c>
      <c r="J14" s="561"/>
      <c r="K14" s="561"/>
      <c r="L14" s="131">
        <f>I14</f>
        <v>12.866000000000003</v>
      </c>
      <c r="M14" s="561"/>
      <c r="N14" s="561"/>
      <c r="O14" s="561"/>
      <c r="P14" s="561"/>
      <c r="Q14" s="561"/>
    </row>
    <row r="15" spans="1:18" ht="14.4" x14ac:dyDescent="0.25">
      <c r="A15" s="560">
        <v>346.68</v>
      </c>
      <c r="B15" s="220" t="s">
        <v>706</v>
      </c>
      <c r="C15" s="34">
        <f t="shared" si="0"/>
        <v>73.910000000000011</v>
      </c>
      <c r="D15" s="131">
        <f>76.54-(9.1+33.24)</f>
        <v>34.200000000000003</v>
      </c>
      <c r="E15" s="131">
        <v>2.4500000000000002</v>
      </c>
      <c r="F15" s="562">
        <v>1</v>
      </c>
      <c r="G15" s="561">
        <v>9.8800000000000008</v>
      </c>
      <c r="H15" s="561"/>
      <c r="I15" s="561"/>
      <c r="J15" s="561"/>
      <c r="K15" s="561"/>
      <c r="L15" s="131">
        <f>C15</f>
        <v>73.910000000000011</v>
      </c>
      <c r="M15" s="561"/>
      <c r="N15" s="561"/>
      <c r="O15" s="561"/>
      <c r="P15" s="561"/>
      <c r="Q15" s="561"/>
    </row>
    <row r="16" spans="1:18" ht="14.4" x14ac:dyDescent="0.25">
      <c r="A16" s="559"/>
      <c r="B16" s="157"/>
      <c r="C16" s="34">
        <f t="shared" si="0"/>
        <v>71.078000000000017</v>
      </c>
      <c r="D16" s="131">
        <v>33.24</v>
      </c>
      <c r="E16" s="131">
        <v>2.4500000000000002</v>
      </c>
      <c r="F16" s="562">
        <v>1</v>
      </c>
      <c r="G16" s="565">
        <v>10.36</v>
      </c>
      <c r="H16" s="65">
        <f>C16</f>
        <v>71.078000000000017</v>
      </c>
      <c r="I16" s="42">
        <f>H16-J16</f>
        <v>71.078000000000017</v>
      </c>
      <c r="J16" s="561"/>
      <c r="K16" s="561"/>
      <c r="L16" s="131">
        <f>I16</f>
        <v>71.078000000000017</v>
      </c>
      <c r="M16" s="561"/>
      <c r="N16" s="561"/>
      <c r="O16" s="561"/>
      <c r="P16" s="561"/>
      <c r="Q16" s="561"/>
    </row>
    <row r="17" spans="1:17" ht="14.4" x14ac:dyDescent="0.25">
      <c r="A17" s="559"/>
      <c r="B17" s="157"/>
      <c r="C17" s="34">
        <f t="shared" si="0"/>
        <v>115.75200000000001</v>
      </c>
      <c r="D17" s="131">
        <v>3.64</v>
      </c>
      <c r="E17" s="131">
        <v>10.6</v>
      </c>
      <c r="F17" s="562">
        <v>3</v>
      </c>
      <c r="G17" s="565"/>
      <c r="H17" s="65">
        <f t="shared" ref="H17:H18" si="1">C17</f>
        <v>115.75200000000001</v>
      </c>
      <c r="I17" s="42">
        <f t="shared" ref="I17:I18" si="2">H17-J17</f>
        <v>115.75200000000001</v>
      </c>
      <c r="J17" s="561"/>
      <c r="K17" s="561"/>
      <c r="L17" s="131">
        <f t="shared" ref="L17:L18" si="3">I17</f>
        <v>115.75200000000001</v>
      </c>
      <c r="M17" s="561"/>
      <c r="N17" s="561"/>
      <c r="O17" s="561"/>
      <c r="P17" s="561"/>
      <c r="Q17" s="561"/>
    </row>
    <row r="18" spans="1:17" ht="14.4" x14ac:dyDescent="0.25">
      <c r="A18" s="559"/>
      <c r="B18" s="157"/>
      <c r="C18" s="34">
        <f t="shared" si="0"/>
        <v>45.199999999999996</v>
      </c>
      <c r="D18" s="131">
        <v>2.2599999999999998</v>
      </c>
      <c r="E18" s="131">
        <v>5</v>
      </c>
      <c r="F18" s="562">
        <v>4</v>
      </c>
      <c r="G18" s="565"/>
      <c r="H18" s="65">
        <f t="shared" si="1"/>
        <v>45.199999999999996</v>
      </c>
      <c r="I18" s="42">
        <f t="shared" si="2"/>
        <v>45.199999999999996</v>
      </c>
      <c r="J18" s="561"/>
      <c r="K18" s="561"/>
      <c r="L18" s="131">
        <f t="shared" si="3"/>
        <v>45.199999999999996</v>
      </c>
      <c r="M18" s="561"/>
      <c r="N18" s="561"/>
      <c r="O18" s="561"/>
      <c r="P18" s="561"/>
      <c r="Q18" s="561"/>
    </row>
    <row r="19" spans="1:17" ht="15" customHeight="1" x14ac:dyDescent="0.25">
      <c r="A19" s="150">
        <v>13.6</v>
      </c>
      <c r="B19" s="15" t="s">
        <v>168</v>
      </c>
      <c r="C19" s="34">
        <f>D19*E19*F19-G19</f>
        <v>28.784499999999994</v>
      </c>
      <c r="D19" s="131">
        <v>17.39</v>
      </c>
      <c r="E19" s="17">
        <v>2.5499999999999998</v>
      </c>
      <c r="F19" s="33">
        <v>1</v>
      </c>
      <c r="G19" s="45">
        <v>15.56</v>
      </c>
      <c r="H19" s="65"/>
      <c r="I19" s="42"/>
      <c r="J19" s="43"/>
      <c r="K19" s="43"/>
      <c r="L19" s="43">
        <f>C19</f>
        <v>28.784499999999994</v>
      </c>
      <c r="M19" s="43"/>
      <c r="N19" s="43"/>
      <c r="O19" s="43"/>
      <c r="P19" s="43"/>
      <c r="Q19" s="43"/>
    </row>
    <row r="20" spans="1:17" ht="15" customHeight="1" x14ac:dyDescent="0.25">
      <c r="A20" s="150">
        <v>1.1000000000000001</v>
      </c>
      <c r="B20" s="15" t="s">
        <v>229</v>
      </c>
      <c r="C20" s="34">
        <f>D20*E20*F20-G20</f>
        <v>4.6940000000000044</v>
      </c>
      <c r="D20" s="131">
        <f>7.44-3.4</f>
        <v>4.0400000000000009</v>
      </c>
      <c r="E20" s="17">
        <v>3.35</v>
      </c>
      <c r="F20" s="33">
        <v>1</v>
      </c>
      <c r="G20" s="45">
        <v>8.84</v>
      </c>
      <c r="H20" s="65"/>
      <c r="I20" s="42"/>
      <c r="J20" s="43"/>
      <c r="K20" s="43"/>
      <c r="L20" s="43">
        <f>C20</f>
        <v>4.6940000000000044</v>
      </c>
      <c r="M20" s="43"/>
      <c r="N20" s="43"/>
      <c r="O20" s="43"/>
      <c r="P20" s="43"/>
      <c r="Q20" s="43"/>
    </row>
    <row r="21" spans="1:17" ht="15" customHeight="1" x14ac:dyDescent="0.25">
      <c r="A21" s="150"/>
      <c r="B21" s="15"/>
      <c r="C21" s="34">
        <f>D21*E21*F21-G21</f>
        <v>11.39</v>
      </c>
      <c r="D21" s="131">
        <v>3.4</v>
      </c>
      <c r="E21" s="17">
        <v>3.35</v>
      </c>
      <c r="F21" s="33">
        <v>1</v>
      </c>
      <c r="G21" s="45"/>
      <c r="H21" s="65">
        <f>C21</f>
        <v>11.39</v>
      </c>
      <c r="I21" s="42">
        <f>H21-J21</f>
        <v>11.39</v>
      </c>
      <c r="J21" s="43"/>
      <c r="K21" s="43"/>
      <c r="L21" s="43">
        <f>I21</f>
        <v>11.39</v>
      </c>
      <c r="M21" s="43"/>
      <c r="N21" s="43"/>
      <c r="O21" s="43"/>
      <c r="P21" s="43"/>
      <c r="Q21" s="43"/>
    </row>
    <row r="22" spans="1:17" ht="15" customHeight="1" x14ac:dyDescent="0.25">
      <c r="A22" s="150">
        <v>3.21</v>
      </c>
      <c r="B22" s="15" t="s">
        <v>169</v>
      </c>
      <c r="C22" s="34">
        <f t="shared" ref="C22:C116" si="4">D22*E22*F22-G22</f>
        <v>12.593000000000002</v>
      </c>
      <c r="D22" s="131">
        <f>7.28-2.14</f>
        <v>5.1400000000000006</v>
      </c>
      <c r="E22" s="17">
        <v>2.4500000000000002</v>
      </c>
      <c r="F22" s="33">
        <v>1</v>
      </c>
      <c r="G22" s="45"/>
      <c r="H22" s="65"/>
      <c r="I22" s="42"/>
      <c r="J22" s="43"/>
      <c r="K22" s="43"/>
      <c r="L22" s="43">
        <f>C22</f>
        <v>12.593000000000002</v>
      </c>
      <c r="M22" s="43"/>
      <c r="N22" s="43"/>
      <c r="O22" s="43"/>
      <c r="P22" s="43"/>
      <c r="Q22" s="43"/>
    </row>
    <row r="23" spans="1:17" ht="15" customHeight="1" x14ac:dyDescent="0.25">
      <c r="A23" s="150"/>
      <c r="B23" s="15"/>
      <c r="C23" s="34">
        <f t="shared" si="4"/>
        <v>5.2430000000000003</v>
      </c>
      <c r="D23" s="131">
        <v>2.14</v>
      </c>
      <c r="E23" s="17">
        <v>2.4500000000000002</v>
      </c>
      <c r="F23" s="33">
        <v>1</v>
      </c>
      <c r="G23" s="45"/>
      <c r="H23" s="65">
        <f t="shared" ref="H23" si="5">C23</f>
        <v>5.2430000000000003</v>
      </c>
      <c r="I23" s="42">
        <f t="shared" ref="I23" si="6">H23-J23</f>
        <v>5.2430000000000003</v>
      </c>
      <c r="J23" s="43"/>
      <c r="K23" s="43"/>
      <c r="L23" s="43">
        <f t="shared" ref="L23" si="7">I23</f>
        <v>5.2430000000000003</v>
      </c>
      <c r="M23" s="43"/>
      <c r="N23" s="43"/>
      <c r="O23" s="43"/>
      <c r="P23" s="43"/>
      <c r="Q23" s="43"/>
    </row>
    <row r="24" spans="1:17" ht="15" customHeight="1" x14ac:dyDescent="0.25">
      <c r="A24" s="150">
        <v>22.6</v>
      </c>
      <c r="B24" s="15" t="s">
        <v>170</v>
      </c>
      <c r="C24" s="34">
        <f t="shared" si="4"/>
        <v>46.511999999999993</v>
      </c>
      <c r="D24" s="131">
        <f>21.68-3.44</f>
        <v>18.239999999999998</v>
      </c>
      <c r="E24" s="17">
        <v>2.5499999999999998</v>
      </c>
      <c r="F24" s="33">
        <v>1</v>
      </c>
      <c r="G24" s="45"/>
      <c r="H24" s="65"/>
      <c r="I24" s="42"/>
      <c r="J24" s="43"/>
      <c r="K24" s="43"/>
      <c r="L24" s="43">
        <f>C24</f>
        <v>46.511999999999993</v>
      </c>
      <c r="M24" s="43"/>
      <c r="N24" s="43"/>
      <c r="O24" s="43"/>
      <c r="P24" s="43"/>
      <c r="Q24" s="43"/>
    </row>
    <row r="25" spans="1:17" ht="15" customHeight="1" x14ac:dyDescent="0.25">
      <c r="A25" s="150">
        <v>3.21</v>
      </c>
      <c r="B25" s="15" t="s">
        <v>189</v>
      </c>
      <c r="C25" s="34">
        <f t="shared" si="4"/>
        <v>18.636800000000001</v>
      </c>
      <c r="D25" s="131">
        <v>7.28</v>
      </c>
      <c r="E25" s="17">
        <v>2.56</v>
      </c>
      <c r="F25" s="33">
        <v>1</v>
      </c>
      <c r="G25" s="45"/>
      <c r="H25" s="65"/>
      <c r="I25" s="42"/>
      <c r="J25" s="43"/>
      <c r="K25" s="43"/>
      <c r="L25" s="43"/>
      <c r="M25" s="43"/>
      <c r="N25" s="43"/>
      <c r="O25" s="43"/>
      <c r="P25" s="43">
        <f>C25</f>
        <v>18.636800000000001</v>
      </c>
      <c r="Q25" s="43"/>
    </row>
    <row r="26" spans="1:17" ht="15" customHeight="1" x14ac:dyDescent="0.25">
      <c r="A26" s="150">
        <v>2.68</v>
      </c>
      <c r="B26" s="15" t="s">
        <v>171</v>
      </c>
      <c r="C26" s="34">
        <f t="shared" si="4"/>
        <v>16.768000000000001</v>
      </c>
      <c r="D26" s="131">
        <v>6.55</v>
      </c>
      <c r="E26" s="17">
        <v>2.56</v>
      </c>
      <c r="F26" s="33">
        <v>1</v>
      </c>
      <c r="G26" s="45"/>
      <c r="H26" s="65"/>
      <c r="I26" s="42"/>
      <c r="J26" s="43"/>
      <c r="K26" s="43"/>
      <c r="L26" s="43"/>
      <c r="M26" s="43"/>
      <c r="N26" s="43"/>
      <c r="O26" s="43"/>
      <c r="P26" s="43">
        <f t="shared" ref="P26:P27" si="8">C26</f>
        <v>16.768000000000001</v>
      </c>
      <c r="Q26" s="43"/>
    </row>
    <row r="27" spans="1:17" ht="15" customHeight="1" x14ac:dyDescent="0.25">
      <c r="A27" s="150">
        <v>2.68</v>
      </c>
      <c r="B27" s="15" t="s">
        <v>172</v>
      </c>
      <c r="C27" s="34">
        <f t="shared" si="4"/>
        <v>16.844799999999999</v>
      </c>
      <c r="D27" s="131">
        <v>6.58</v>
      </c>
      <c r="E27" s="17">
        <v>2.56</v>
      </c>
      <c r="F27" s="33">
        <v>1</v>
      </c>
      <c r="G27" s="45"/>
      <c r="H27" s="65"/>
      <c r="I27" s="42"/>
      <c r="J27" s="43"/>
      <c r="K27" s="43"/>
      <c r="L27" s="43"/>
      <c r="M27" s="43"/>
      <c r="N27" s="43"/>
      <c r="O27" s="43"/>
      <c r="P27" s="43">
        <f t="shared" si="8"/>
        <v>16.844799999999999</v>
      </c>
      <c r="Q27" s="43"/>
    </row>
    <row r="28" spans="1:17" ht="15" customHeight="1" x14ac:dyDescent="0.25">
      <c r="A28" s="150">
        <v>12.54</v>
      </c>
      <c r="B28" s="15" t="s">
        <v>168</v>
      </c>
      <c r="C28" s="34">
        <f t="shared" si="4"/>
        <v>23.970000000000002</v>
      </c>
      <c r="D28" s="131">
        <f>17.6-8.2</f>
        <v>9.4000000000000021</v>
      </c>
      <c r="E28" s="17">
        <v>2.5499999999999998</v>
      </c>
      <c r="F28" s="33">
        <v>1</v>
      </c>
      <c r="G28" s="45"/>
      <c r="H28" s="65"/>
      <c r="I28" s="42"/>
      <c r="J28" s="43"/>
      <c r="K28" s="43"/>
      <c r="L28" s="43">
        <f>C28</f>
        <v>23.970000000000002</v>
      </c>
      <c r="M28" s="43"/>
      <c r="N28" s="43"/>
      <c r="O28" s="43"/>
      <c r="P28" s="43"/>
      <c r="Q28" s="43"/>
    </row>
    <row r="29" spans="1:17" ht="15" customHeight="1" x14ac:dyDescent="0.25">
      <c r="A29" s="150"/>
      <c r="B29" s="15"/>
      <c r="C29" s="34">
        <f t="shared" si="4"/>
        <v>20.909999999999997</v>
      </c>
      <c r="D29" s="131">
        <v>8.1999999999999993</v>
      </c>
      <c r="E29" s="17">
        <v>2.5499999999999998</v>
      </c>
      <c r="F29" s="33">
        <v>1</v>
      </c>
      <c r="G29" s="45"/>
      <c r="H29" s="65">
        <f t="shared" ref="H29" si="9">C29</f>
        <v>20.909999999999997</v>
      </c>
      <c r="I29" s="42">
        <f t="shared" ref="I29" si="10">H29-J29</f>
        <v>20.909999999999997</v>
      </c>
      <c r="J29" s="43"/>
      <c r="K29" s="43"/>
      <c r="L29" s="43">
        <f t="shared" ref="L29" si="11">I29</f>
        <v>20.909999999999997</v>
      </c>
      <c r="M29" s="43"/>
      <c r="N29" s="43"/>
      <c r="O29" s="43"/>
      <c r="P29" s="43"/>
      <c r="Q29" s="43"/>
    </row>
    <row r="30" spans="1:17" ht="15" customHeight="1" x14ac:dyDescent="0.25">
      <c r="A30" s="150">
        <v>7.56</v>
      </c>
      <c r="B30" s="15" t="s">
        <v>174</v>
      </c>
      <c r="C30" s="34">
        <f t="shared" si="4"/>
        <v>28.416</v>
      </c>
      <c r="D30" s="131">
        <v>11.1</v>
      </c>
      <c r="E30" s="17">
        <v>2.56</v>
      </c>
      <c r="F30" s="33">
        <v>1</v>
      </c>
      <c r="G30" s="45"/>
      <c r="H30" s="65"/>
      <c r="I30" s="42"/>
      <c r="J30" s="43"/>
      <c r="K30" s="43"/>
      <c r="L30" s="43"/>
      <c r="M30" s="43"/>
      <c r="N30" s="43"/>
      <c r="O30" s="43"/>
      <c r="P30" s="43">
        <f>C30</f>
        <v>28.416</v>
      </c>
      <c r="Q30" s="43"/>
    </row>
    <row r="31" spans="1:17" ht="15" customHeight="1" x14ac:dyDescent="0.25">
      <c r="A31" s="150">
        <v>7.85</v>
      </c>
      <c r="B31" s="15" t="s">
        <v>173</v>
      </c>
      <c r="C31" s="34">
        <f t="shared" si="4"/>
        <v>29.0304</v>
      </c>
      <c r="D31" s="131">
        <v>11.34</v>
      </c>
      <c r="E31" s="17">
        <v>2.56</v>
      </c>
      <c r="F31" s="33">
        <v>1</v>
      </c>
      <c r="G31" s="45"/>
      <c r="H31" s="65"/>
      <c r="I31" s="42"/>
      <c r="J31" s="43"/>
      <c r="K31" s="43"/>
      <c r="L31" s="43"/>
      <c r="M31" s="43"/>
      <c r="N31" s="43"/>
      <c r="O31" s="43"/>
      <c r="P31" s="43">
        <f>C31</f>
        <v>29.0304</v>
      </c>
      <c r="Q31" s="43"/>
    </row>
    <row r="32" spans="1:17" ht="15" customHeight="1" x14ac:dyDescent="0.25">
      <c r="A32" s="150">
        <v>7.23</v>
      </c>
      <c r="B32" s="15" t="s">
        <v>175</v>
      </c>
      <c r="C32" s="34">
        <f t="shared" si="4"/>
        <v>21.4375</v>
      </c>
      <c r="D32" s="131">
        <f>10.96-2.21</f>
        <v>8.75</v>
      </c>
      <c r="E32" s="17">
        <v>2.4500000000000002</v>
      </c>
      <c r="F32" s="33">
        <v>1</v>
      </c>
      <c r="G32" s="45"/>
      <c r="H32" s="65"/>
      <c r="I32" s="42"/>
      <c r="J32" s="43"/>
      <c r="K32" s="43"/>
      <c r="L32" s="43">
        <f>C32</f>
        <v>21.4375</v>
      </c>
      <c r="M32" s="43"/>
      <c r="N32" s="43"/>
      <c r="O32" s="43"/>
      <c r="P32" s="43"/>
      <c r="Q32" s="43"/>
    </row>
    <row r="33" spans="1:17" ht="15" customHeight="1" x14ac:dyDescent="0.25">
      <c r="A33" s="150"/>
      <c r="B33" s="15"/>
      <c r="C33" s="34">
        <f t="shared" si="4"/>
        <v>5.4145000000000003</v>
      </c>
      <c r="D33" s="131">
        <v>2.21</v>
      </c>
      <c r="E33" s="17">
        <v>2.4500000000000002</v>
      </c>
      <c r="F33" s="33">
        <v>1</v>
      </c>
      <c r="G33" s="45"/>
      <c r="H33" s="65">
        <f t="shared" ref="H33" si="12">C33</f>
        <v>5.4145000000000003</v>
      </c>
      <c r="I33" s="42">
        <f t="shared" ref="I33" si="13">H33-J33</f>
        <v>5.4145000000000003</v>
      </c>
      <c r="J33" s="43"/>
      <c r="K33" s="43"/>
      <c r="L33" s="43">
        <f t="shared" ref="L33" si="14">I33</f>
        <v>5.4145000000000003</v>
      </c>
      <c r="M33" s="43"/>
      <c r="N33" s="43"/>
      <c r="O33" s="43"/>
      <c r="P33" s="43"/>
      <c r="Q33" s="43"/>
    </row>
    <row r="34" spans="1:17" ht="25.05" customHeight="1" x14ac:dyDescent="0.25">
      <c r="A34" s="150">
        <v>25.34</v>
      </c>
      <c r="B34" s="254" t="s">
        <v>176</v>
      </c>
      <c r="C34" s="34">
        <f t="shared" si="4"/>
        <v>46.865000000000002</v>
      </c>
      <c r="D34" s="131">
        <f>24.8-4.3</f>
        <v>20.5</v>
      </c>
      <c r="E34" s="17">
        <v>2.4500000000000002</v>
      </c>
      <c r="F34" s="33">
        <v>1</v>
      </c>
      <c r="G34" s="45">
        <v>3.36</v>
      </c>
      <c r="H34" s="65"/>
      <c r="I34" s="42"/>
      <c r="J34" s="43"/>
      <c r="K34" s="43"/>
      <c r="L34" s="43">
        <f>C34</f>
        <v>46.865000000000002</v>
      </c>
      <c r="M34" s="43"/>
      <c r="N34" s="43"/>
      <c r="O34" s="43"/>
      <c r="P34" s="43"/>
      <c r="Q34" s="43"/>
    </row>
    <row r="35" spans="1:17" ht="25.05" customHeight="1" x14ac:dyDescent="0.25">
      <c r="A35" s="150"/>
      <c r="B35" s="254"/>
      <c r="C35" s="34">
        <f t="shared" si="4"/>
        <v>10.535</v>
      </c>
      <c r="D35" s="131">
        <v>4.3</v>
      </c>
      <c r="E35" s="17">
        <v>2.4500000000000002</v>
      </c>
      <c r="F35" s="33">
        <v>1</v>
      </c>
      <c r="G35" s="45"/>
      <c r="H35" s="65">
        <f t="shared" ref="H35" si="15">C35</f>
        <v>10.535</v>
      </c>
      <c r="I35" s="42">
        <f t="shared" ref="I35" si="16">H35-J35</f>
        <v>10.535</v>
      </c>
      <c r="J35" s="43"/>
      <c r="K35" s="43"/>
      <c r="L35" s="43">
        <f t="shared" ref="L35" si="17">I35</f>
        <v>10.535</v>
      </c>
      <c r="M35" s="43"/>
      <c r="N35" s="43"/>
      <c r="O35" s="43"/>
      <c r="P35" s="43"/>
      <c r="Q35" s="43"/>
    </row>
    <row r="36" spans="1:17" ht="15" customHeight="1" x14ac:dyDescent="0.25">
      <c r="A36" s="150">
        <v>4.16</v>
      </c>
      <c r="B36" s="15" t="s">
        <v>177</v>
      </c>
      <c r="C36" s="34">
        <f t="shared" si="4"/>
        <v>22.470000000000002</v>
      </c>
      <c r="D36" s="131">
        <v>8.4</v>
      </c>
      <c r="E36" s="17">
        <v>3</v>
      </c>
      <c r="F36" s="33">
        <v>1</v>
      </c>
      <c r="G36" s="45">
        <v>2.73</v>
      </c>
      <c r="H36" s="65"/>
      <c r="I36" s="42"/>
      <c r="J36" s="43"/>
      <c r="K36" s="43"/>
      <c r="L36" s="43"/>
      <c r="M36" s="43">
        <f>C36</f>
        <v>22.470000000000002</v>
      </c>
      <c r="N36" s="43"/>
      <c r="O36" s="43"/>
      <c r="P36" s="43"/>
      <c r="Q36" s="43"/>
    </row>
    <row r="37" spans="1:17" ht="15" customHeight="1" x14ac:dyDescent="0.25">
      <c r="A37" s="150">
        <v>6</v>
      </c>
      <c r="B37" s="15" t="s">
        <v>178</v>
      </c>
      <c r="C37" s="34">
        <f t="shared" si="4"/>
        <v>24.010000000000005</v>
      </c>
      <c r="D37" s="131">
        <v>9.8000000000000007</v>
      </c>
      <c r="E37" s="17">
        <v>2.4500000000000002</v>
      </c>
      <c r="F37" s="33">
        <v>1</v>
      </c>
      <c r="G37" s="45"/>
      <c r="H37" s="65"/>
      <c r="I37" s="42"/>
      <c r="J37" s="43"/>
      <c r="K37" s="43"/>
      <c r="L37" s="43">
        <f>C37</f>
        <v>24.010000000000005</v>
      </c>
      <c r="M37" s="43"/>
      <c r="N37" s="43"/>
      <c r="O37" s="43"/>
      <c r="P37" s="43"/>
      <c r="Q37" s="43"/>
    </row>
    <row r="38" spans="1:17" ht="15" customHeight="1" x14ac:dyDescent="0.25">
      <c r="A38" s="150">
        <v>29.62</v>
      </c>
      <c r="B38" s="15" t="s">
        <v>179</v>
      </c>
      <c r="C38" s="34">
        <f t="shared" si="4"/>
        <v>51.345000000000006</v>
      </c>
      <c r="D38" s="131">
        <f>29.4-5.7</f>
        <v>23.7</v>
      </c>
      <c r="E38" s="17">
        <v>2.4500000000000002</v>
      </c>
      <c r="F38" s="33">
        <v>1</v>
      </c>
      <c r="G38" s="45">
        <v>6.72</v>
      </c>
      <c r="H38" s="65"/>
      <c r="I38" s="42"/>
      <c r="J38" s="43"/>
      <c r="K38" s="43"/>
      <c r="L38" s="43">
        <f>C38</f>
        <v>51.345000000000006</v>
      </c>
      <c r="M38" s="43"/>
      <c r="N38" s="43"/>
      <c r="O38" s="43"/>
      <c r="P38" s="43"/>
      <c r="Q38" s="43"/>
    </row>
    <row r="39" spans="1:17" ht="15" customHeight="1" x14ac:dyDescent="0.25">
      <c r="A39" s="150"/>
      <c r="B39" s="15"/>
      <c r="C39" s="34">
        <f t="shared" si="4"/>
        <v>13.965000000000002</v>
      </c>
      <c r="D39" s="131">
        <v>5.7</v>
      </c>
      <c r="E39" s="17">
        <v>2.4500000000000002</v>
      </c>
      <c r="F39" s="33">
        <v>1</v>
      </c>
      <c r="G39" s="45"/>
      <c r="H39" s="65">
        <f t="shared" ref="H39" si="18">C39</f>
        <v>13.965000000000002</v>
      </c>
      <c r="I39" s="42">
        <f t="shared" ref="I39" si="19">H39-J39</f>
        <v>13.965000000000002</v>
      </c>
      <c r="J39" s="43"/>
      <c r="K39" s="43"/>
      <c r="L39" s="43">
        <f t="shared" ref="L39" si="20">I39</f>
        <v>13.965000000000002</v>
      </c>
      <c r="M39" s="43"/>
      <c r="N39" s="43"/>
      <c r="O39" s="43"/>
      <c r="P39" s="43"/>
      <c r="Q39" s="43"/>
    </row>
    <row r="40" spans="1:17" ht="15" customHeight="1" x14ac:dyDescent="0.25">
      <c r="A40" s="150">
        <v>34.35</v>
      </c>
      <c r="B40" s="15" t="s">
        <v>161</v>
      </c>
      <c r="C40" s="34">
        <f t="shared" si="4"/>
        <v>39.195500000000003</v>
      </c>
      <c r="D40" s="131">
        <f>24.1-5.71</f>
        <v>18.39</v>
      </c>
      <c r="E40" s="17">
        <v>2.4500000000000002</v>
      </c>
      <c r="F40" s="33">
        <v>1</v>
      </c>
      <c r="G40" s="45">
        <v>5.86</v>
      </c>
      <c r="H40" s="65"/>
      <c r="I40" s="42"/>
      <c r="J40" s="43"/>
      <c r="K40" s="43"/>
      <c r="L40" s="43">
        <f>C40</f>
        <v>39.195500000000003</v>
      </c>
      <c r="M40" s="43"/>
      <c r="N40" s="43"/>
      <c r="O40" s="43"/>
      <c r="P40" s="43"/>
      <c r="Q40" s="43"/>
    </row>
    <row r="41" spans="1:17" ht="15" customHeight="1" x14ac:dyDescent="0.25">
      <c r="A41" s="150"/>
      <c r="B41" s="15"/>
      <c r="C41" s="34">
        <f t="shared" si="4"/>
        <v>13.989500000000001</v>
      </c>
      <c r="D41" s="131">
        <v>5.71</v>
      </c>
      <c r="E41" s="17">
        <v>2.4500000000000002</v>
      </c>
      <c r="F41" s="33">
        <v>1</v>
      </c>
      <c r="G41" s="45"/>
      <c r="H41" s="65">
        <f t="shared" ref="H41" si="21">C41</f>
        <v>13.989500000000001</v>
      </c>
      <c r="I41" s="42">
        <f t="shared" ref="I41" si="22">H41-J41</f>
        <v>13.989500000000001</v>
      </c>
      <c r="J41" s="43"/>
      <c r="K41" s="43"/>
      <c r="L41" s="43">
        <f t="shared" ref="L41" si="23">I41</f>
        <v>13.989500000000001</v>
      </c>
      <c r="M41" s="43"/>
      <c r="N41" s="43"/>
      <c r="O41" s="43"/>
      <c r="P41" s="43"/>
      <c r="Q41" s="43"/>
    </row>
    <row r="42" spans="1:17" ht="15" customHeight="1" x14ac:dyDescent="0.25">
      <c r="A42" s="150">
        <v>4.34</v>
      </c>
      <c r="B42" s="15" t="s">
        <v>180</v>
      </c>
      <c r="C42" s="34">
        <f t="shared" si="4"/>
        <v>21.76</v>
      </c>
      <c r="D42" s="131">
        <v>8.5</v>
      </c>
      <c r="E42" s="17">
        <v>2.56</v>
      </c>
      <c r="F42" s="33">
        <v>1</v>
      </c>
      <c r="G42" s="45"/>
      <c r="H42" s="65"/>
      <c r="I42" s="42"/>
      <c r="J42" s="43"/>
      <c r="K42" s="43"/>
      <c r="L42" s="43"/>
      <c r="M42" s="43"/>
      <c r="N42" s="43"/>
      <c r="O42" s="43"/>
      <c r="P42" s="43">
        <f>C42</f>
        <v>21.76</v>
      </c>
      <c r="Q42" s="43"/>
    </row>
    <row r="43" spans="1:17" ht="15" customHeight="1" x14ac:dyDescent="0.25">
      <c r="A43" s="150">
        <v>3.06</v>
      </c>
      <c r="B43" s="15" t="s">
        <v>158</v>
      </c>
      <c r="C43" s="34">
        <f t="shared" si="4"/>
        <v>19.2</v>
      </c>
      <c r="D43" s="131">
        <v>7.5</v>
      </c>
      <c r="E43" s="17">
        <v>2.56</v>
      </c>
      <c r="F43" s="33">
        <v>1</v>
      </c>
      <c r="G43" s="45"/>
      <c r="H43" s="65"/>
      <c r="I43" s="42"/>
      <c r="J43" s="43"/>
      <c r="K43" s="43"/>
      <c r="L43" s="43"/>
      <c r="M43" s="43"/>
      <c r="N43" s="43"/>
      <c r="O43" s="43"/>
      <c r="P43" s="43"/>
      <c r="Q43" s="43">
        <f>C43</f>
        <v>19.2</v>
      </c>
    </row>
    <row r="44" spans="1:17" ht="15" customHeight="1" x14ac:dyDescent="0.25">
      <c r="A44" s="150">
        <v>16.23</v>
      </c>
      <c r="B44" s="15" t="s">
        <v>181</v>
      </c>
      <c r="C44" s="34">
        <f t="shared" si="4"/>
        <v>40.572000000000003</v>
      </c>
      <c r="D44" s="131">
        <f>16.56</f>
        <v>16.559999999999999</v>
      </c>
      <c r="E44" s="17">
        <v>2.4500000000000002</v>
      </c>
      <c r="F44" s="33">
        <v>1</v>
      </c>
      <c r="G44" s="45"/>
      <c r="H44" s="65"/>
      <c r="I44" s="42"/>
      <c r="J44" s="43"/>
      <c r="K44" s="43"/>
      <c r="L44" s="43">
        <f>C44</f>
        <v>40.572000000000003</v>
      </c>
      <c r="M44" s="43"/>
      <c r="N44" s="43"/>
      <c r="O44" s="43"/>
      <c r="P44" s="43"/>
      <c r="Q44" s="43"/>
    </row>
    <row r="45" spans="1:17" ht="15" customHeight="1" x14ac:dyDescent="0.25">
      <c r="A45" s="150">
        <v>23.87</v>
      </c>
      <c r="B45" s="15" t="s">
        <v>182</v>
      </c>
      <c r="C45" s="34">
        <f t="shared" si="4"/>
        <v>35.229999999999997</v>
      </c>
      <c r="D45" s="131">
        <f>19.61-4.21</f>
        <v>15.399999999999999</v>
      </c>
      <c r="E45" s="17">
        <v>2.4500000000000002</v>
      </c>
      <c r="F45" s="33">
        <v>1</v>
      </c>
      <c r="G45" s="45">
        <v>2.5</v>
      </c>
      <c r="H45" s="65"/>
      <c r="I45" s="42"/>
      <c r="J45" s="43"/>
      <c r="K45" s="43"/>
      <c r="L45" s="43">
        <f>C45</f>
        <v>35.229999999999997</v>
      </c>
      <c r="M45" s="43"/>
      <c r="N45" s="43"/>
      <c r="O45" s="43"/>
      <c r="P45" s="43"/>
      <c r="Q45" s="43"/>
    </row>
    <row r="46" spans="1:17" ht="15" customHeight="1" x14ac:dyDescent="0.25">
      <c r="A46" s="150"/>
      <c r="B46" s="15"/>
      <c r="C46" s="34">
        <f t="shared" si="4"/>
        <v>10.314500000000001</v>
      </c>
      <c r="D46" s="131">
        <v>4.21</v>
      </c>
      <c r="E46" s="17">
        <v>2.4500000000000002</v>
      </c>
      <c r="F46" s="33">
        <v>1</v>
      </c>
      <c r="G46" s="45"/>
      <c r="H46" s="65">
        <f t="shared" ref="H46" si="24">C46</f>
        <v>10.314500000000001</v>
      </c>
      <c r="I46" s="42">
        <f t="shared" ref="I46" si="25">H46-J46</f>
        <v>10.314500000000001</v>
      </c>
      <c r="J46" s="43"/>
      <c r="K46" s="43"/>
      <c r="L46" s="43">
        <f t="shared" ref="L46" si="26">I46</f>
        <v>10.314500000000001</v>
      </c>
      <c r="M46" s="43"/>
      <c r="N46" s="43"/>
      <c r="O46" s="43"/>
      <c r="P46" s="43"/>
      <c r="Q46" s="43"/>
    </row>
    <row r="47" spans="1:17" ht="15" customHeight="1" x14ac:dyDescent="0.25">
      <c r="A47" s="150">
        <v>12.29</v>
      </c>
      <c r="B47" s="15" t="s">
        <v>183</v>
      </c>
      <c r="C47" s="34">
        <f t="shared" si="4"/>
        <v>30.086000000000006</v>
      </c>
      <c r="D47" s="131">
        <f>14.8-2.52</f>
        <v>12.280000000000001</v>
      </c>
      <c r="E47" s="17">
        <v>2.4500000000000002</v>
      </c>
      <c r="F47" s="33">
        <v>1</v>
      </c>
      <c r="G47" s="45"/>
      <c r="H47" s="65"/>
      <c r="I47" s="42"/>
      <c r="J47" s="43"/>
      <c r="K47" s="43"/>
      <c r="L47" s="43">
        <f>C47</f>
        <v>30.086000000000006</v>
      </c>
      <c r="M47" s="43"/>
      <c r="N47" s="43"/>
      <c r="O47" s="43"/>
      <c r="P47" s="43"/>
      <c r="Q47" s="43"/>
    </row>
    <row r="48" spans="1:17" ht="15" customHeight="1" x14ac:dyDescent="0.25">
      <c r="A48" s="150"/>
      <c r="B48" s="15"/>
      <c r="C48" s="34">
        <f t="shared" si="4"/>
        <v>6.1740000000000004</v>
      </c>
      <c r="D48" s="131">
        <v>2.52</v>
      </c>
      <c r="E48" s="17">
        <v>2.4500000000000002</v>
      </c>
      <c r="F48" s="33">
        <v>1</v>
      </c>
      <c r="G48" s="45"/>
      <c r="H48" s="65">
        <f t="shared" ref="H48" si="27">C48</f>
        <v>6.1740000000000004</v>
      </c>
      <c r="I48" s="42">
        <f t="shared" ref="I48" si="28">H48-J48</f>
        <v>6.1740000000000004</v>
      </c>
      <c r="J48" s="43"/>
      <c r="K48" s="43"/>
      <c r="L48" s="43">
        <f t="shared" ref="L48" si="29">I48</f>
        <v>6.1740000000000004</v>
      </c>
      <c r="M48" s="43"/>
      <c r="N48" s="43"/>
      <c r="O48" s="43"/>
      <c r="P48" s="43"/>
      <c r="Q48" s="43"/>
    </row>
    <row r="49" spans="1:17" ht="15" customHeight="1" x14ac:dyDescent="0.25">
      <c r="A49" s="150">
        <v>12.95</v>
      </c>
      <c r="B49" s="15" t="s">
        <v>184</v>
      </c>
      <c r="C49" s="34">
        <f t="shared" si="4"/>
        <v>30.429000000000002</v>
      </c>
      <c r="D49" s="131">
        <f>15.07-2.65</f>
        <v>12.42</v>
      </c>
      <c r="E49" s="17">
        <v>2.4500000000000002</v>
      </c>
      <c r="F49" s="33">
        <v>1</v>
      </c>
      <c r="G49" s="45"/>
      <c r="H49" s="65"/>
      <c r="I49" s="42"/>
      <c r="J49" s="43"/>
      <c r="K49" s="43"/>
      <c r="L49" s="43">
        <f>C49</f>
        <v>30.429000000000002</v>
      </c>
      <c r="M49" s="43"/>
      <c r="N49" s="43"/>
      <c r="O49" s="43"/>
      <c r="P49" s="43"/>
      <c r="Q49" s="43"/>
    </row>
    <row r="50" spans="1:17" ht="15" customHeight="1" x14ac:dyDescent="0.25">
      <c r="A50" s="150"/>
      <c r="B50" s="15"/>
      <c r="C50" s="34">
        <f t="shared" si="4"/>
        <v>6.4925000000000006</v>
      </c>
      <c r="D50" s="131">
        <v>2.65</v>
      </c>
      <c r="E50" s="17">
        <v>2.4500000000000002</v>
      </c>
      <c r="F50" s="33">
        <v>1</v>
      </c>
      <c r="G50" s="45"/>
      <c r="H50" s="65">
        <f t="shared" ref="H50" si="30">C50</f>
        <v>6.4925000000000006</v>
      </c>
      <c r="I50" s="42">
        <f t="shared" ref="I50" si="31">H50-J50</f>
        <v>6.4925000000000006</v>
      </c>
      <c r="J50" s="43"/>
      <c r="K50" s="43"/>
      <c r="L50" s="43">
        <f t="shared" ref="L50" si="32">I50</f>
        <v>6.4925000000000006</v>
      </c>
      <c r="M50" s="43"/>
      <c r="N50" s="43"/>
      <c r="O50" s="43"/>
      <c r="P50" s="43"/>
      <c r="Q50" s="43"/>
    </row>
    <row r="51" spans="1:17" ht="15" customHeight="1" x14ac:dyDescent="0.25">
      <c r="A51" s="150">
        <v>9.17</v>
      </c>
      <c r="B51" s="15" t="s">
        <v>185</v>
      </c>
      <c r="C51" s="34">
        <f t="shared" si="4"/>
        <v>35.647500000000001</v>
      </c>
      <c r="D51" s="131">
        <v>14.55</v>
      </c>
      <c r="E51" s="17">
        <v>2.4500000000000002</v>
      </c>
      <c r="F51" s="33">
        <v>1</v>
      </c>
      <c r="G51" s="45"/>
      <c r="H51" s="65"/>
      <c r="I51" s="42"/>
      <c r="J51" s="43"/>
      <c r="K51" s="43"/>
      <c r="L51" s="43">
        <f t="shared" ref="L51:L56" si="33">C51</f>
        <v>35.647500000000001</v>
      </c>
      <c r="M51" s="43"/>
      <c r="N51" s="43"/>
      <c r="O51" s="43"/>
      <c r="P51" s="43"/>
      <c r="Q51" s="43"/>
    </row>
    <row r="52" spans="1:17" ht="15" customHeight="1" x14ac:dyDescent="0.25">
      <c r="A52" s="150">
        <v>6.94</v>
      </c>
      <c r="B52" s="15" t="s">
        <v>186</v>
      </c>
      <c r="C52" s="34">
        <f t="shared" si="4"/>
        <v>26.680500000000002</v>
      </c>
      <c r="D52" s="131">
        <v>10.89</v>
      </c>
      <c r="E52" s="17">
        <v>2.4500000000000002</v>
      </c>
      <c r="F52" s="33">
        <v>1</v>
      </c>
      <c r="G52" s="45"/>
      <c r="H52" s="65"/>
      <c r="I52" s="42"/>
      <c r="J52" s="43"/>
      <c r="K52" s="43"/>
      <c r="L52" s="43">
        <f t="shared" si="33"/>
        <v>26.680500000000002</v>
      </c>
      <c r="M52" s="43"/>
      <c r="N52" s="43"/>
      <c r="O52" s="43"/>
      <c r="P52" s="43"/>
      <c r="Q52" s="43"/>
    </row>
    <row r="53" spans="1:17" ht="15" customHeight="1" x14ac:dyDescent="0.25">
      <c r="A53" s="150">
        <v>5.3</v>
      </c>
      <c r="B53" s="15" t="s">
        <v>187</v>
      </c>
      <c r="C53" s="34">
        <f t="shared" si="4"/>
        <v>20.785000000000004</v>
      </c>
      <c r="D53" s="131">
        <f>9.3</f>
        <v>9.3000000000000007</v>
      </c>
      <c r="E53" s="17">
        <v>2.4500000000000002</v>
      </c>
      <c r="F53" s="33">
        <v>1</v>
      </c>
      <c r="G53" s="45">
        <v>2</v>
      </c>
      <c r="H53" s="65"/>
      <c r="I53" s="42"/>
      <c r="J53" s="43"/>
      <c r="K53" s="43"/>
      <c r="L53" s="43">
        <f t="shared" si="33"/>
        <v>20.785000000000004</v>
      </c>
      <c r="M53" s="43"/>
      <c r="N53" s="43"/>
      <c r="O53" s="43"/>
      <c r="P53" s="43"/>
      <c r="Q53" s="43"/>
    </row>
    <row r="54" spans="1:17" ht="15" customHeight="1" x14ac:dyDescent="0.25">
      <c r="A54" s="219">
        <v>5.9</v>
      </c>
      <c r="B54" s="220" t="s">
        <v>188</v>
      </c>
      <c r="C54" s="34">
        <f t="shared" si="4"/>
        <v>23.887500000000003</v>
      </c>
      <c r="D54" s="131">
        <f>9.75</f>
        <v>9.75</v>
      </c>
      <c r="E54" s="17">
        <v>2.4500000000000002</v>
      </c>
      <c r="F54" s="33">
        <v>1</v>
      </c>
      <c r="G54" s="45"/>
      <c r="H54" s="65"/>
      <c r="I54" s="42"/>
      <c r="J54" s="43"/>
      <c r="K54" s="43"/>
      <c r="L54" s="43">
        <f t="shared" si="33"/>
        <v>23.887500000000003</v>
      </c>
      <c r="M54" s="43"/>
      <c r="N54" s="43"/>
      <c r="O54" s="43"/>
      <c r="P54" s="43"/>
      <c r="Q54" s="43"/>
    </row>
    <row r="55" spans="1:17" ht="15" customHeight="1" x14ac:dyDescent="0.25">
      <c r="A55" s="219">
        <v>23.22</v>
      </c>
      <c r="B55" s="220" t="s">
        <v>168</v>
      </c>
      <c r="C55" s="34">
        <f t="shared" si="4"/>
        <v>54.214000000000006</v>
      </c>
      <c r="D55" s="131">
        <f>27.12-2</f>
        <v>25.12</v>
      </c>
      <c r="E55" s="17">
        <v>2.4500000000000002</v>
      </c>
      <c r="F55" s="33">
        <v>1</v>
      </c>
      <c r="G55" s="45">
        <v>7.33</v>
      </c>
      <c r="H55" s="65"/>
      <c r="I55" s="42"/>
      <c r="J55" s="43"/>
      <c r="K55" s="43"/>
      <c r="L55" s="43">
        <f t="shared" si="33"/>
        <v>54.214000000000006</v>
      </c>
      <c r="M55" s="43"/>
      <c r="N55" s="43"/>
      <c r="O55" s="43"/>
      <c r="P55" s="43"/>
      <c r="Q55" s="43"/>
    </row>
    <row r="56" spans="1:17" ht="15" customHeight="1" x14ac:dyDescent="0.25">
      <c r="A56" s="150">
        <v>0.88</v>
      </c>
      <c r="B56" s="157" t="s">
        <v>229</v>
      </c>
      <c r="C56" s="34">
        <f t="shared" si="4"/>
        <v>4.4450000000000021</v>
      </c>
      <c r="D56" s="131">
        <f>4.33-1.63</f>
        <v>2.7</v>
      </c>
      <c r="E56" s="17">
        <v>3.35</v>
      </c>
      <c r="F56" s="33">
        <v>1</v>
      </c>
      <c r="G56" s="45">
        <v>4.5999999999999996</v>
      </c>
      <c r="H56" s="65"/>
      <c r="I56" s="42"/>
      <c r="J56" s="43"/>
      <c r="K56" s="43"/>
      <c r="L56" s="43">
        <f t="shared" si="33"/>
        <v>4.4450000000000021</v>
      </c>
      <c r="M56" s="43"/>
      <c r="N56" s="43"/>
      <c r="O56" s="43"/>
      <c r="P56" s="43"/>
      <c r="Q56" s="43"/>
    </row>
    <row r="57" spans="1:17" ht="15" customHeight="1" x14ac:dyDescent="0.25">
      <c r="A57" s="150"/>
      <c r="B57" s="157"/>
      <c r="C57" s="34">
        <f t="shared" si="4"/>
        <v>5.4604999999999997</v>
      </c>
      <c r="D57" s="131">
        <v>1.63</v>
      </c>
      <c r="E57" s="17">
        <v>3.35</v>
      </c>
      <c r="F57" s="33">
        <v>1</v>
      </c>
      <c r="G57" s="45"/>
      <c r="H57" s="65">
        <f t="shared" ref="H57" si="34">C57</f>
        <v>5.4604999999999997</v>
      </c>
      <c r="I57" s="42">
        <f t="shared" ref="I57" si="35">H57-J57</f>
        <v>5.4604999999999997</v>
      </c>
      <c r="J57" s="43"/>
      <c r="K57" s="43"/>
      <c r="L57" s="43">
        <f t="shared" ref="L57" si="36">I57</f>
        <v>5.4604999999999997</v>
      </c>
      <c r="M57" s="43"/>
      <c r="N57" s="43"/>
      <c r="O57" s="43"/>
      <c r="P57" s="43"/>
      <c r="Q57" s="43"/>
    </row>
    <row r="58" spans="1:17" ht="15" customHeight="1" x14ac:dyDescent="0.25">
      <c r="A58" s="150">
        <v>6.61</v>
      </c>
      <c r="B58" s="15" t="s">
        <v>190</v>
      </c>
      <c r="C58" s="34">
        <f t="shared" si="4"/>
        <v>54.016000000000005</v>
      </c>
      <c r="D58" s="131">
        <v>10.55</v>
      </c>
      <c r="E58" s="17">
        <v>2.56</v>
      </c>
      <c r="F58" s="33">
        <v>2</v>
      </c>
      <c r="G58" s="45"/>
      <c r="H58" s="65">
        <f t="shared" ref="H58" si="37">C58</f>
        <v>54.016000000000005</v>
      </c>
      <c r="I58" s="42"/>
      <c r="J58" s="43">
        <f t="shared" ref="J58" si="38">H58-I58</f>
        <v>54.016000000000005</v>
      </c>
      <c r="K58" s="43"/>
      <c r="L58" s="43"/>
      <c r="M58" s="43"/>
      <c r="N58" s="43"/>
      <c r="O58" s="43"/>
      <c r="P58" s="43">
        <f>J58</f>
        <v>54.016000000000005</v>
      </c>
      <c r="Q58" s="43"/>
    </row>
    <row r="59" spans="1:17" ht="15" customHeight="1" x14ac:dyDescent="0.25">
      <c r="A59" s="150">
        <v>0.51</v>
      </c>
      <c r="B59" s="15" t="s">
        <v>229</v>
      </c>
      <c r="C59" s="34">
        <f t="shared" si="4"/>
        <v>6.8004999999999995</v>
      </c>
      <c r="D59" s="131">
        <f>3.03-1</f>
        <v>2.0299999999999998</v>
      </c>
      <c r="E59" s="17">
        <v>3.35</v>
      </c>
      <c r="F59" s="33">
        <v>1</v>
      </c>
      <c r="G59" s="45"/>
      <c r="H59" s="65"/>
      <c r="I59" s="42"/>
      <c r="J59" s="43"/>
      <c r="K59" s="43"/>
      <c r="L59" s="43">
        <f>C59</f>
        <v>6.8004999999999995</v>
      </c>
      <c r="M59" s="43"/>
      <c r="N59" s="43"/>
      <c r="O59" s="43"/>
      <c r="P59" s="43"/>
      <c r="Q59" s="43"/>
    </row>
    <row r="60" spans="1:17" ht="15" customHeight="1" x14ac:dyDescent="0.25">
      <c r="A60" s="150"/>
      <c r="B60" s="15"/>
      <c r="C60" s="34">
        <f t="shared" si="4"/>
        <v>3.35</v>
      </c>
      <c r="D60" s="131">
        <v>1</v>
      </c>
      <c r="E60" s="17">
        <v>3.35</v>
      </c>
      <c r="F60" s="33">
        <v>1</v>
      </c>
      <c r="G60" s="45"/>
      <c r="H60" s="65">
        <f t="shared" ref="H60" si="39">C60</f>
        <v>3.35</v>
      </c>
      <c r="I60" s="42">
        <f t="shared" ref="I60" si="40">H60-J60</f>
        <v>3.35</v>
      </c>
      <c r="J60" s="43"/>
      <c r="K60" s="43"/>
      <c r="L60" s="43">
        <f t="shared" ref="L60" si="41">I60</f>
        <v>3.35</v>
      </c>
      <c r="M60" s="43"/>
      <c r="N60" s="43"/>
      <c r="O60" s="43"/>
      <c r="P60" s="43"/>
      <c r="Q60" s="43"/>
    </row>
    <row r="61" spans="1:17" ht="15" customHeight="1" x14ac:dyDescent="0.25">
      <c r="A61" s="150">
        <v>1.1100000000000001</v>
      </c>
      <c r="B61" s="15" t="s">
        <v>229</v>
      </c>
      <c r="C61" s="34">
        <f t="shared" si="4"/>
        <v>10.686499999999999</v>
      </c>
      <c r="D61" s="131">
        <f>5.35-2.16</f>
        <v>3.1899999999999995</v>
      </c>
      <c r="E61" s="17">
        <v>3.35</v>
      </c>
      <c r="F61" s="33">
        <v>1</v>
      </c>
      <c r="G61" s="45"/>
      <c r="H61" s="65"/>
      <c r="I61" s="42"/>
      <c r="J61" s="43"/>
      <c r="K61" s="43"/>
      <c r="L61" s="43">
        <f>C61</f>
        <v>10.686499999999999</v>
      </c>
      <c r="M61" s="43"/>
      <c r="N61" s="43"/>
      <c r="O61" s="43"/>
      <c r="P61" s="43"/>
      <c r="Q61" s="43"/>
    </row>
    <row r="62" spans="1:17" ht="15" customHeight="1" x14ac:dyDescent="0.25">
      <c r="A62" s="150"/>
      <c r="B62" s="15"/>
      <c r="C62" s="34">
        <f t="shared" si="4"/>
        <v>7.2360000000000007</v>
      </c>
      <c r="D62" s="131">
        <v>2.16</v>
      </c>
      <c r="E62" s="17">
        <v>3.35</v>
      </c>
      <c r="F62" s="33">
        <v>1</v>
      </c>
      <c r="G62" s="45"/>
      <c r="H62" s="65">
        <f t="shared" ref="H62" si="42">C62</f>
        <v>7.2360000000000007</v>
      </c>
      <c r="I62" s="42">
        <f t="shared" ref="I62" si="43">H62-J62</f>
        <v>7.2360000000000007</v>
      </c>
      <c r="J62" s="43"/>
      <c r="K62" s="43"/>
      <c r="L62" s="43">
        <f t="shared" ref="L62" si="44">I62</f>
        <v>7.2360000000000007</v>
      </c>
      <c r="M62" s="43"/>
      <c r="N62" s="43"/>
      <c r="O62" s="43"/>
      <c r="P62" s="43"/>
      <c r="Q62" s="43"/>
    </row>
    <row r="63" spans="1:17" ht="15" customHeight="1" x14ac:dyDescent="0.25">
      <c r="A63" s="219">
        <v>170.79</v>
      </c>
      <c r="B63" s="220" t="s">
        <v>168</v>
      </c>
      <c r="C63" s="34">
        <f t="shared" si="4"/>
        <v>110.74900000000002</v>
      </c>
      <c r="D63" s="131">
        <f>(93.29+10.83)-47.94</f>
        <v>56.180000000000007</v>
      </c>
      <c r="E63" s="17">
        <v>2.5499999999999998</v>
      </c>
      <c r="F63" s="33">
        <v>1</v>
      </c>
      <c r="G63" s="45">
        <v>32.51</v>
      </c>
      <c r="H63" s="65"/>
      <c r="I63" s="42"/>
      <c r="J63" s="43"/>
      <c r="K63" s="43"/>
      <c r="L63" s="43">
        <f>C63</f>
        <v>110.74900000000002</v>
      </c>
      <c r="M63" s="43"/>
      <c r="N63" s="43"/>
      <c r="O63" s="43"/>
      <c r="P63" s="43"/>
      <c r="Q63" s="43"/>
    </row>
    <row r="64" spans="1:17" ht="15" customHeight="1" x14ac:dyDescent="0.25">
      <c r="A64" s="150"/>
      <c r="B64" s="262"/>
      <c r="C64" s="34">
        <f t="shared" si="4"/>
        <v>122.24699999999999</v>
      </c>
      <c r="D64" s="131">
        <v>47.94</v>
      </c>
      <c r="E64" s="17">
        <v>2.5499999999999998</v>
      </c>
      <c r="F64" s="33">
        <v>1</v>
      </c>
      <c r="G64" s="45"/>
      <c r="H64" s="65">
        <f t="shared" ref="H64" si="45">C64</f>
        <v>122.24699999999999</v>
      </c>
      <c r="I64" s="42">
        <f t="shared" ref="I64" si="46">H64-J64</f>
        <v>122.24699999999999</v>
      </c>
      <c r="J64" s="43"/>
      <c r="K64" s="43"/>
      <c r="L64" s="43">
        <f t="shared" ref="L64" si="47">I64</f>
        <v>122.24699999999999</v>
      </c>
      <c r="M64" s="43"/>
      <c r="N64" s="43"/>
      <c r="O64" s="43"/>
      <c r="P64" s="43"/>
      <c r="Q64" s="43"/>
    </row>
    <row r="65" spans="1:17" ht="15" customHeight="1" x14ac:dyDescent="0.25">
      <c r="A65" s="150">
        <v>0.41</v>
      </c>
      <c r="B65" s="262" t="s">
        <v>229</v>
      </c>
      <c r="C65" s="34">
        <f t="shared" si="4"/>
        <v>3.7545000000000006</v>
      </c>
      <c r="D65" s="131">
        <f>3.87-1.6</f>
        <v>2.27</v>
      </c>
      <c r="E65" s="17">
        <v>3.35</v>
      </c>
      <c r="F65" s="33">
        <v>1</v>
      </c>
      <c r="G65" s="261">
        <v>3.85</v>
      </c>
      <c r="H65" s="65"/>
      <c r="I65" s="42"/>
      <c r="J65" s="43"/>
      <c r="K65" s="43"/>
      <c r="L65" s="43">
        <f>C65</f>
        <v>3.7545000000000006</v>
      </c>
      <c r="M65" s="43"/>
      <c r="N65" s="43"/>
      <c r="O65" s="43"/>
      <c r="P65" s="43"/>
      <c r="Q65" s="43"/>
    </row>
    <row r="66" spans="1:17" ht="15" customHeight="1" x14ac:dyDescent="0.25">
      <c r="A66" s="150"/>
      <c r="B66" s="262"/>
      <c r="C66" s="34">
        <f t="shared" si="4"/>
        <v>5.36</v>
      </c>
      <c r="D66" s="428">
        <v>1.6</v>
      </c>
      <c r="E66" s="429">
        <v>3.35</v>
      </c>
      <c r="F66" s="430">
        <v>1</v>
      </c>
      <c r="G66" s="438"/>
      <c r="H66" s="65">
        <f t="shared" ref="H66" si="48">C66</f>
        <v>5.36</v>
      </c>
      <c r="I66" s="42">
        <f t="shared" ref="I66" si="49">H66-J66</f>
        <v>5.36</v>
      </c>
      <c r="J66" s="43"/>
      <c r="K66" s="43"/>
      <c r="L66" s="43">
        <f t="shared" ref="L66" si="50">I66</f>
        <v>5.36</v>
      </c>
      <c r="M66" s="432"/>
      <c r="N66" s="432"/>
      <c r="O66" s="432"/>
      <c r="P66" s="432"/>
      <c r="Q66" s="432"/>
    </row>
    <row r="67" spans="1:17" ht="15" customHeight="1" x14ac:dyDescent="0.25">
      <c r="A67" s="150">
        <v>3.03</v>
      </c>
      <c r="B67" s="157" t="s">
        <v>229</v>
      </c>
      <c r="C67" s="34">
        <f t="shared" si="4"/>
        <v>11.176000000000002</v>
      </c>
      <c r="D67" s="131">
        <f>8.51-3.35</f>
        <v>5.16</v>
      </c>
      <c r="E67" s="17">
        <v>3.35</v>
      </c>
      <c r="F67" s="33">
        <v>1</v>
      </c>
      <c r="G67" s="261">
        <v>6.11</v>
      </c>
      <c r="H67" s="65"/>
      <c r="I67" s="42"/>
      <c r="J67" s="43"/>
      <c r="K67" s="43"/>
      <c r="L67" s="43">
        <f>C67</f>
        <v>11.176000000000002</v>
      </c>
      <c r="M67" s="43"/>
      <c r="N67" s="43"/>
      <c r="O67" s="43"/>
      <c r="P67" s="43"/>
      <c r="Q67" s="43"/>
    </row>
    <row r="68" spans="1:17" ht="15" customHeight="1" thickBot="1" x14ac:dyDescent="0.3">
      <c r="A68" s="276"/>
      <c r="B68" s="439"/>
      <c r="C68" s="327">
        <f t="shared" si="4"/>
        <v>11.2225</v>
      </c>
      <c r="D68" s="434">
        <v>3.35</v>
      </c>
      <c r="E68" s="435">
        <v>3.35</v>
      </c>
      <c r="F68" s="436">
        <v>1</v>
      </c>
      <c r="G68" s="437"/>
      <c r="H68" s="332">
        <f t="shared" ref="H68" si="51">C68</f>
        <v>11.2225</v>
      </c>
      <c r="I68" s="333">
        <f t="shared" ref="I68" si="52">H68-J68</f>
        <v>11.2225</v>
      </c>
      <c r="J68" s="334"/>
      <c r="K68" s="334"/>
      <c r="L68" s="334">
        <f t="shared" ref="L68" si="53">I68</f>
        <v>11.2225</v>
      </c>
      <c r="M68" s="433"/>
      <c r="N68" s="433"/>
      <c r="O68" s="433"/>
      <c r="P68" s="433"/>
      <c r="Q68" s="433"/>
    </row>
    <row r="69" spans="1:17" ht="15" customHeight="1" x14ac:dyDescent="0.25">
      <c r="A69" s="441">
        <v>30.17</v>
      </c>
      <c r="B69" s="318" t="s">
        <v>168</v>
      </c>
      <c r="C69" s="321">
        <f t="shared" si="4"/>
        <v>74.797499999999985</v>
      </c>
      <c r="D69" s="322">
        <f>34.4-3.75</f>
        <v>30.65</v>
      </c>
      <c r="E69" s="323">
        <v>2.5499999999999998</v>
      </c>
      <c r="F69" s="29">
        <v>1</v>
      </c>
      <c r="G69" s="45">
        <v>3.36</v>
      </c>
      <c r="H69" s="324"/>
      <c r="I69" s="325"/>
      <c r="J69" s="326"/>
      <c r="K69" s="326"/>
      <c r="L69" s="326">
        <f>C69</f>
        <v>74.797499999999985</v>
      </c>
      <c r="M69" s="326"/>
      <c r="N69" s="326"/>
      <c r="O69" s="326"/>
      <c r="P69" s="326"/>
      <c r="Q69" s="326"/>
    </row>
    <row r="70" spans="1:17" ht="15" customHeight="1" x14ac:dyDescent="0.25">
      <c r="A70" s="440"/>
      <c r="B70" s="157"/>
      <c r="C70" s="321">
        <f t="shared" si="4"/>
        <v>9.5625</v>
      </c>
      <c r="D70" s="322">
        <v>3.75</v>
      </c>
      <c r="E70" s="323">
        <v>2.5499999999999998</v>
      </c>
      <c r="F70" s="29">
        <v>1</v>
      </c>
      <c r="G70" s="45"/>
      <c r="H70" s="324">
        <f t="shared" ref="H70" si="54">C70</f>
        <v>9.5625</v>
      </c>
      <c r="I70" s="325">
        <f t="shared" ref="I70" si="55">H70-J70</f>
        <v>9.5625</v>
      </c>
      <c r="J70" s="326"/>
      <c r="K70" s="326"/>
      <c r="L70" s="326">
        <f t="shared" ref="L70" si="56">I70</f>
        <v>9.5625</v>
      </c>
      <c r="M70" s="326"/>
      <c r="N70" s="326"/>
      <c r="O70" s="326"/>
      <c r="P70" s="326"/>
      <c r="Q70" s="326"/>
    </row>
    <row r="71" spans="1:17" ht="15" customHeight="1" x14ac:dyDescent="0.25">
      <c r="A71" s="150">
        <v>1.5</v>
      </c>
      <c r="B71" s="157" t="s">
        <v>229</v>
      </c>
      <c r="C71" s="34">
        <f t="shared" si="4"/>
        <v>21.775000000000002</v>
      </c>
      <c r="D71" s="131">
        <f>7-0.5</f>
        <v>6.5</v>
      </c>
      <c r="E71" s="17">
        <v>3.35</v>
      </c>
      <c r="F71" s="33">
        <v>1</v>
      </c>
      <c r="G71" s="261"/>
      <c r="H71" s="65"/>
      <c r="I71" s="325"/>
      <c r="J71" s="43"/>
      <c r="K71" s="43"/>
      <c r="L71" s="43">
        <f>C71</f>
        <v>21.775000000000002</v>
      </c>
      <c r="M71" s="43"/>
      <c r="N71" s="43"/>
      <c r="O71" s="43"/>
      <c r="P71" s="43"/>
      <c r="Q71" s="43"/>
    </row>
    <row r="72" spans="1:17" ht="15" customHeight="1" x14ac:dyDescent="0.25">
      <c r="A72" s="150"/>
      <c r="B72" s="274"/>
      <c r="C72" s="34">
        <f t="shared" si="4"/>
        <v>1.675</v>
      </c>
      <c r="D72" s="131">
        <v>0.5</v>
      </c>
      <c r="E72" s="17">
        <v>3.35</v>
      </c>
      <c r="F72" s="33">
        <v>1</v>
      </c>
      <c r="G72" s="261"/>
      <c r="H72" s="65">
        <f t="shared" ref="H72" si="57">C72</f>
        <v>1.675</v>
      </c>
      <c r="I72" s="325">
        <f t="shared" ref="I72" si="58">H72-J72</f>
        <v>1.675</v>
      </c>
      <c r="J72" s="43"/>
      <c r="K72" s="43"/>
      <c r="L72" s="43">
        <f t="shared" ref="L72" si="59">I72</f>
        <v>1.675</v>
      </c>
      <c r="M72" s="43"/>
      <c r="N72" s="43"/>
      <c r="O72" s="43"/>
      <c r="P72" s="43"/>
      <c r="Q72" s="43"/>
    </row>
    <row r="73" spans="1:17" ht="15" customHeight="1" x14ac:dyDescent="0.25">
      <c r="A73" s="150">
        <v>9.8000000000000007</v>
      </c>
      <c r="B73" s="157" t="s">
        <v>168</v>
      </c>
      <c r="C73" s="34">
        <f t="shared" si="4"/>
        <v>32.0595</v>
      </c>
      <c r="D73" s="131">
        <v>13.89</v>
      </c>
      <c r="E73" s="17">
        <v>2.5499999999999998</v>
      </c>
      <c r="F73" s="33">
        <v>1</v>
      </c>
      <c r="G73" s="261">
        <v>3.36</v>
      </c>
      <c r="H73" s="65"/>
      <c r="I73" s="42"/>
      <c r="J73" s="43"/>
      <c r="K73" s="43"/>
      <c r="L73" s="43">
        <f>C73</f>
        <v>32.0595</v>
      </c>
      <c r="M73" s="43"/>
      <c r="N73" s="43"/>
      <c r="O73" s="43"/>
      <c r="P73" s="43"/>
      <c r="Q73" s="43"/>
    </row>
    <row r="74" spans="1:17" ht="15" customHeight="1" x14ac:dyDescent="0.25">
      <c r="A74" s="150">
        <v>2.4</v>
      </c>
      <c r="B74" s="157" t="s">
        <v>158</v>
      </c>
      <c r="C74" s="34">
        <f t="shared" si="4"/>
        <v>16.384</v>
      </c>
      <c r="D74" s="131">
        <v>6.4</v>
      </c>
      <c r="E74" s="17">
        <v>2.56</v>
      </c>
      <c r="F74" s="33">
        <v>1</v>
      </c>
      <c r="G74" s="261"/>
      <c r="H74" s="65"/>
      <c r="I74" s="42"/>
      <c r="J74" s="43"/>
      <c r="K74" s="43"/>
      <c r="L74" s="43"/>
      <c r="M74" s="43"/>
      <c r="N74" s="43"/>
      <c r="O74" s="43"/>
      <c r="P74" s="43"/>
      <c r="Q74" s="43">
        <f>C74</f>
        <v>16.384</v>
      </c>
    </row>
    <row r="75" spans="1:17" ht="15" customHeight="1" x14ac:dyDescent="0.25">
      <c r="A75" s="219">
        <v>24.28</v>
      </c>
      <c r="B75" s="317" t="s">
        <v>346</v>
      </c>
      <c r="C75" s="34">
        <f t="shared" si="4"/>
        <v>101.158</v>
      </c>
      <c r="D75" s="131">
        <v>30.37</v>
      </c>
      <c r="E75" s="17">
        <v>3.4</v>
      </c>
      <c r="F75" s="33">
        <v>1</v>
      </c>
      <c r="G75" s="261">
        <v>2.1</v>
      </c>
      <c r="H75" s="65">
        <f t="shared" ref="H75:H125" si="60">C75</f>
        <v>101.158</v>
      </c>
      <c r="I75" s="42">
        <f t="shared" ref="I75" si="61">H75-J75</f>
        <v>101.158</v>
      </c>
      <c r="J75" s="43"/>
      <c r="K75" s="43"/>
      <c r="L75" s="43"/>
      <c r="M75" s="43">
        <f>I75</f>
        <v>101.158</v>
      </c>
      <c r="N75" s="43"/>
      <c r="O75" s="43"/>
      <c r="P75" s="43"/>
      <c r="Q75" s="43"/>
    </row>
    <row r="76" spans="1:17" ht="15" customHeight="1" x14ac:dyDescent="0.25">
      <c r="A76" s="150">
        <v>6.78</v>
      </c>
      <c r="B76" s="262" t="s">
        <v>347</v>
      </c>
      <c r="C76" s="34">
        <f t="shared" si="4"/>
        <v>21.062999999999999</v>
      </c>
      <c r="D76" s="131">
        <f>10.52-2.26</f>
        <v>8.26</v>
      </c>
      <c r="E76" s="17">
        <v>2.5499999999999998</v>
      </c>
      <c r="F76" s="33">
        <v>1</v>
      </c>
      <c r="G76" s="261"/>
      <c r="H76" s="65"/>
      <c r="I76" s="42"/>
      <c r="J76" s="43"/>
      <c r="K76" s="43"/>
      <c r="L76" s="43">
        <f>C76</f>
        <v>21.062999999999999</v>
      </c>
      <c r="M76" s="43"/>
      <c r="N76" s="43"/>
      <c r="O76" s="43"/>
      <c r="P76" s="43"/>
      <c r="Q76" s="43"/>
    </row>
    <row r="77" spans="1:17" ht="15" customHeight="1" x14ac:dyDescent="0.25">
      <c r="A77" s="150"/>
      <c r="B77" s="262"/>
      <c r="C77" s="34">
        <f t="shared" si="4"/>
        <v>5.762999999999999</v>
      </c>
      <c r="D77" s="131">
        <v>2.2599999999999998</v>
      </c>
      <c r="E77" s="17">
        <v>2.5499999999999998</v>
      </c>
      <c r="F77" s="33">
        <v>1</v>
      </c>
      <c r="G77" s="261"/>
      <c r="H77" s="65">
        <f t="shared" ref="H77" si="62">C77</f>
        <v>5.762999999999999</v>
      </c>
      <c r="I77" s="42">
        <f t="shared" ref="I77" si="63">H77-J77</f>
        <v>5.762999999999999</v>
      </c>
      <c r="J77" s="43"/>
      <c r="K77" s="43"/>
      <c r="L77" s="43">
        <f t="shared" ref="L77" si="64">I77</f>
        <v>5.762999999999999</v>
      </c>
      <c r="M77" s="43"/>
      <c r="N77" s="43"/>
      <c r="O77" s="43"/>
      <c r="P77" s="43"/>
      <c r="Q77" s="43"/>
    </row>
    <row r="78" spans="1:17" ht="15" customHeight="1" x14ac:dyDescent="0.25">
      <c r="A78" s="150">
        <v>2.62</v>
      </c>
      <c r="B78" s="262" t="s">
        <v>158</v>
      </c>
      <c r="C78" s="34">
        <f t="shared" si="4"/>
        <v>12.8</v>
      </c>
      <c r="D78" s="131">
        <f>6.5-1.5</f>
        <v>5</v>
      </c>
      <c r="E78" s="17">
        <v>2.56</v>
      </c>
      <c r="F78" s="33">
        <v>1</v>
      </c>
      <c r="G78" s="261"/>
      <c r="H78" s="65"/>
      <c r="I78" s="42"/>
      <c r="J78" s="43"/>
      <c r="K78" s="43"/>
      <c r="L78" s="43"/>
      <c r="M78" s="43"/>
      <c r="N78" s="43"/>
      <c r="O78" s="43"/>
      <c r="P78" s="43"/>
      <c r="Q78" s="43">
        <f>C78</f>
        <v>12.8</v>
      </c>
    </row>
    <row r="79" spans="1:17" ht="15" customHeight="1" x14ac:dyDescent="0.25">
      <c r="A79" s="150"/>
      <c r="B79" s="262"/>
      <c r="C79" s="34">
        <f t="shared" si="4"/>
        <v>3.84</v>
      </c>
      <c r="D79" s="131">
        <v>1.5</v>
      </c>
      <c r="E79" s="17">
        <v>2.56</v>
      </c>
      <c r="F79" s="33">
        <v>1</v>
      </c>
      <c r="G79" s="261"/>
      <c r="H79" s="65">
        <f t="shared" ref="H79" si="65">C79</f>
        <v>3.84</v>
      </c>
      <c r="I79" s="42"/>
      <c r="J79" s="43">
        <f t="shared" ref="J79" si="66">H79-I79</f>
        <v>3.84</v>
      </c>
      <c r="K79" s="43"/>
      <c r="L79" s="43"/>
      <c r="M79" s="43"/>
      <c r="N79" s="43"/>
      <c r="O79" s="43"/>
      <c r="P79" s="43"/>
      <c r="Q79" s="43">
        <f>C79</f>
        <v>3.84</v>
      </c>
    </row>
    <row r="80" spans="1:17" ht="15" customHeight="1" x14ac:dyDescent="0.25">
      <c r="A80" s="219">
        <v>12.43</v>
      </c>
      <c r="B80" s="317" t="s">
        <v>348</v>
      </c>
      <c r="C80" s="34">
        <f t="shared" si="4"/>
        <v>20.680499999999999</v>
      </c>
      <c r="D80" s="131">
        <f>15.04-6.93</f>
        <v>8.11</v>
      </c>
      <c r="E80" s="17">
        <v>2.5499999999999998</v>
      </c>
      <c r="F80" s="33">
        <v>1</v>
      </c>
      <c r="G80" s="261"/>
      <c r="H80" s="65"/>
      <c r="I80" s="42"/>
      <c r="J80" s="43"/>
      <c r="K80" s="43"/>
      <c r="L80" s="43">
        <f>C80</f>
        <v>20.680499999999999</v>
      </c>
      <c r="M80" s="43"/>
      <c r="N80" s="43"/>
      <c r="O80" s="43"/>
      <c r="P80" s="43"/>
      <c r="Q80" s="43"/>
    </row>
    <row r="81" spans="1:17" ht="15" customHeight="1" x14ac:dyDescent="0.25">
      <c r="A81" s="150"/>
      <c r="B81" s="262"/>
      <c r="C81" s="34">
        <f t="shared" si="4"/>
        <v>17.671499999999998</v>
      </c>
      <c r="D81" s="131">
        <v>6.93</v>
      </c>
      <c r="E81" s="17">
        <v>2.5499999999999998</v>
      </c>
      <c r="F81" s="33">
        <v>1</v>
      </c>
      <c r="G81" s="261"/>
      <c r="H81" s="65">
        <f t="shared" ref="H81" si="67">C81</f>
        <v>17.671499999999998</v>
      </c>
      <c r="I81" s="42">
        <f t="shared" ref="I81" si="68">H81-J81</f>
        <v>17.671499999999998</v>
      </c>
      <c r="J81" s="43"/>
      <c r="K81" s="43"/>
      <c r="L81" s="43">
        <f t="shared" ref="L81" si="69">I81</f>
        <v>17.671499999999998</v>
      </c>
      <c r="M81" s="43"/>
      <c r="N81" s="43"/>
      <c r="O81" s="43"/>
      <c r="P81" s="43"/>
      <c r="Q81" s="43"/>
    </row>
    <row r="82" spans="1:17" ht="15" customHeight="1" x14ac:dyDescent="0.25">
      <c r="A82" s="150">
        <v>6.12</v>
      </c>
      <c r="B82" s="262" t="s">
        <v>185</v>
      </c>
      <c r="C82" s="34">
        <f t="shared" si="4"/>
        <v>20.705999999999996</v>
      </c>
      <c r="D82" s="131">
        <f>10.12-2</f>
        <v>8.1199999999999992</v>
      </c>
      <c r="E82" s="17">
        <v>2.5499999999999998</v>
      </c>
      <c r="F82" s="33">
        <v>1</v>
      </c>
      <c r="G82" s="261"/>
      <c r="H82" s="65"/>
      <c r="I82" s="42"/>
      <c r="J82" s="43"/>
      <c r="K82" s="43"/>
      <c r="L82" s="43">
        <f>C82</f>
        <v>20.705999999999996</v>
      </c>
      <c r="M82" s="43"/>
      <c r="N82" s="43"/>
      <c r="O82" s="43"/>
      <c r="P82" s="43"/>
      <c r="Q82" s="43"/>
    </row>
    <row r="83" spans="1:17" ht="15" customHeight="1" x14ac:dyDescent="0.25">
      <c r="A83" s="219">
        <v>18.46</v>
      </c>
      <c r="B83" s="317" t="s">
        <v>168</v>
      </c>
      <c r="C83" s="34">
        <f t="shared" si="4"/>
        <v>65.509500000000003</v>
      </c>
      <c r="D83" s="131">
        <f>27.69-2</f>
        <v>25.69</v>
      </c>
      <c r="E83" s="17">
        <v>2.5499999999999998</v>
      </c>
      <c r="F83" s="33">
        <v>1</v>
      </c>
      <c r="G83" s="261"/>
      <c r="H83" s="65"/>
      <c r="I83" s="42"/>
      <c r="J83" s="43"/>
      <c r="K83" s="43"/>
      <c r="L83" s="43">
        <f>C83</f>
        <v>65.509500000000003</v>
      </c>
      <c r="M83" s="43"/>
      <c r="N83" s="43"/>
      <c r="O83" s="43"/>
      <c r="P83" s="43"/>
      <c r="Q83" s="43"/>
    </row>
    <row r="84" spans="1:17" ht="15" customHeight="1" x14ac:dyDescent="0.25">
      <c r="A84" s="150">
        <v>17.63</v>
      </c>
      <c r="B84" s="262" t="s">
        <v>349</v>
      </c>
      <c r="C84" s="34">
        <f t="shared" si="4"/>
        <v>45.747</v>
      </c>
      <c r="D84" s="131">
        <v>17.940000000000001</v>
      </c>
      <c r="E84" s="17">
        <v>2.5499999999999998</v>
      </c>
      <c r="F84" s="33">
        <v>1</v>
      </c>
      <c r="G84" s="261"/>
      <c r="H84" s="65"/>
      <c r="I84" s="42"/>
      <c r="J84" s="43"/>
      <c r="K84" s="43"/>
      <c r="L84" s="43">
        <f>C84</f>
        <v>45.747</v>
      </c>
      <c r="M84" s="43"/>
      <c r="N84" s="43"/>
      <c r="O84" s="43"/>
      <c r="P84" s="43"/>
      <c r="Q84" s="43"/>
    </row>
    <row r="85" spans="1:17" ht="15" customHeight="1" x14ac:dyDescent="0.25">
      <c r="A85" s="150">
        <v>20.65</v>
      </c>
      <c r="B85" s="262" t="s">
        <v>350</v>
      </c>
      <c r="C85" s="34">
        <f t="shared" si="4"/>
        <v>33.889499999999998</v>
      </c>
      <c r="D85" s="131">
        <f>18.24-4.95</f>
        <v>13.29</v>
      </c>
      <c r="E85" s="17">
        <v>2.5499999999999998</v>
      </c>
      <c r="F85" s="33">
        <v>1</v>
      </c>
      <c r="G85" s="261"/>
      <c r="H85" s="65"/>
      <c r="I85" s="42"/>
      <c r="J85" s="43"/>
      <c r="K85" s="43"/>
      <c r="L85" s="43">
        <f>C85</f>
        <v>33.889499999999998</v>
      </c>
      <c r="M85" s="43"/>
      <c r="N85" s="43"/>
      <c r="O85" s="43"/>
      <c r="P85" s="43"/>
      <c r="Q85" s="43"/>
    </row>
    <row r="86" spans="1:17" ht="15" customHeight="1" x14ac:dyDescent="0.25">
      <c r="A86" s="150"/>
      <c r="B86" s="262"/>
      <c r="C86" s="34">
        <f t="shared" si="4"/>
        <v>12.622499999999999</v>
      </c>
      <c r="D86" s="131">
        <v>4.95</v>
      </c>
      <c r="E86" s="17">
        <v>2.5499999999999998</v>
      </c>
      <c r="F86" s="33">
        <v>1</v>
      </c>
      <c r="G86" s="261"/>
      <c r="H86" s="65">
        <f t="shared" ref="H86" si="70">C86</f>
        <v>12.622499999999999</v>
      </c>
      <c r="I86" s="42">
        <f t="shared" ref="I86" si="71">H86-J86</f>
        <v>12.622499999999999</v>
      </c>
      <c r="J86" s="43"/>
      <c r="K86" s="43"/>
      <c r="L86" s="43">
        <f t="shared" ref="L86" si="72">I86</f>
        <v>12.622499999999999</v>
      </c>
      <c r="M86" s="43"/>
      <c r="N86" s="43"/>
      <c r="O86" s="43"/>
      <c r="P86" s="43"/>
      <c r="Q86" s="43"/>
    </row>
    <row r="87" spans="1:17" ht="15" customHeight="1" x14ac:dyDescent="0.25">
      <c r="A87" s="219">
        <v>24.98</v>
      </c>
      <c r="B87" s="317" t="s">
        <v>162</v>
      </c>
      <c r="C87" s="34">
        <f t="shared" si="4"/>
        <v>37.459499999999998</v>
      </c>
      <c r="D87" s="131">
        <f>20.69-6</f>
        <v>14.690000000000001</v>
      </c>
      <c r="E87" s="17">
        <v>2.5499999999999998</v>
      </c>
      <c r="F87" s="33">
        <v>1</v>
      </c>
      <c r="G87" s="261"/>
      <c r="H87" s="65"/>
      <c r="I87" s="42"/>
      <c r="J87" s="43"/>
      <c r="K87" s="43"/>
      <c r="L87" s="43">
        <f>C87</f>
        <v>37.459499999999998</v>
      </c>
      <c r="M87" s="43"/>
      <c r="N87" s="43"/>
      <c r="O87" s="43"/>
      <c r="P87" s="43"/>
      <c r="Q87" s="43"/>
    </row>
    <row r="88" spans="1:17" ht="15" customHeight="1" x14ac:dyDescent="0.25">
      <c r="A88" s="150"/>
      <c r="B88" s="262"/>
      <c r="C88" s="34">
        <f t="shared" si="4"/>
        <v>15.299999999999999</v>
      </c>
      <c r="D88" s="131">
        <v>6</v>
      </c>
      <c r="E88" s="17">
        <v>2.5499999999999998</v>
      </c>
      <c r="F88" s="33">
        <v>1</v>
      </c>
      <c r="G88" s="261"/>
      <c r="H88" s="65">
        <f t="shared" ref="H88" si="73">C88</f>
        <v>15.299999999999999</v>
      </c>
      <c r="I88" s="42">
        <f t="shared" ref="I88" si="74">H88-J88</f>
        <v>15.299999999999999</v>
      </c>
      <c r="J88" s="43"/>
      <c r="K88" s="43"/>
      <c r="L88" s="43">
        <f t="shared" ref="L88" si="75">I88</f>
        <v>15.299999999999999</v>
      </c>
      <c r="M88" s="43"/>
      <c r="N88" s="43"/>
      <c r="O88" s="43"/>
      <c r="P88" s="43"/>
      <c r="Q88" s="43"/>
    </row>
    <row r="89" spans="1:17" ht="15" customHeight="1" x14ac:dyDescent="0.25">
      <c r="A89" s="219">
        <v>34.68</v>
      </c>
      <c r="B89" s="317" t="s">
        <v>351</v>
      </c>
      <c r="C89" s="34">
        <f t="shared" si="4"/>
        <v>53.396999999999991</v>
      </c>
      <c r="D89" s="131">
        <f>26.79-5.85</f>
        <v>20.939999999999998</v>
      </c>
      <c r="E89" s="17">
        <v>2.5499999999999998</v>
      </c>
      <c r="F89" s="33">
        <v>1</v>
      </c>
      <c r="G89" s="261"/>
      <c r="H89" s="65"/>
      <c r="I89" s="42"/>
      <c r="J89" s="43"/>
      <c r="K89" s="43"/>
      <c r="L89" s="43">
        <f>C89</f>
        <v>53.396999999999991</v>
      </c>
      <c r="M89" s="43"/>
      <c r="N89" s="43"/>
      <c r="O89" s="43"/>
      <c r="P89" s="43"/>
      <c r="Q89" s="43"/>
    </row>
    <row r="90" spans="1:17" ht="15" customHeight="1" x14ac:dyDescent="0.25">
      <c r="A90" s="150"/>
      <c r="B90" s="262"/>
      <c r="C90" s="34">
        <f t="shared" si="4"/>
        <v>14.917499999999999</v>
      </c>
      <c r="D90" s="131">
        <v>5.85</v>
      </c>
      <c r="E90" s="17">
        <v>2.5499999999999998</v>
      </c>
      <c r="F90" s="33">
        <v>1</v>
      </c>
      <c r="G90" s="261"/>
      <c r="H90" s="65">
        <f t="shared" ref="H90" si="76">C90</f>
        <v>14.917499999999999</v>
      </c>
      <c r="I90" s="42">
        <f t="shared" ref="I90" si="77">H90-J90</f>
        <v>14.917499999999999</v>
      </c>
      <c r="J90" s="43"/>
      <c r="K90" s="43"/>
      <c r="L90" s="43">
        <f t="shared" ref="L90" si="78">I90</f>
        <v>14.917499999999999</v>
      </c>
      <c r="M90" s="43"/>
      <c r="N90" s="43"/>
      <c r="O90" s="43"/>
      <c r="P90" s="43"/>
      <c r="Q90" s="43"/>
    </row>
    <row r="91" spans="1:17" ht="15" customHeight="1" x14ac:dyDescent="0.25">
      <c r="A91" s="150">
        <v>5.53</v>
      </c>
      <c r="B91" s="262" t="s">
        <v>352</v>
      </c>
      <c r="C91" s="34">
        <f t="shared" si="4"/>
        <v>24.530999999999995</v>
      </c>
      <c r="D91" s="131">
        <v>9.6199999999999992</v>
      </c>
      <c r="E91" s="17">
        <v>2.5499999999999998</v>
      </c>
      <c r="F91" s="33">
        <v>1</v>
      </c>
      <c r="G91" s="261"/>
      <c r="H91" s="65"/>
      <c r="I91" s="42"/>
      <c r="J91" s="43"/>
      <c r="K91" s="43"/>
      <c r="L91" s="43">
        <f>C91</f>
        <v>24.530999999999995</v>
      </c>
      <c r="M91" s="43"/>
      <c r="N91" s="43"/>
      <c r="O91" s="43"/>
      <c r="P91" s="43"/>
      <c r="Q91" s="43"/>
    </row>
    <row r="92" spans="1:17" ht="25.05" customHeight="1" x14ac:dyDescent="0.25">
      <c r="A92" s="219">
        <v>12.22</v>
      </c>
      <c r="B92" s="319" t="s">
        <v>353</v>
      </c>
      <c r="C92" s="34">
        <f t="shared" si="4"/>
        <v>36.260999999999996</v>
      </c>
      <c r="D92" s="131">
        <f>14.22</f>
        <v>14.22</v>
      </c>
      <c r="E92" s="17">
        <v>2.5499999999999998</v>
      </c>
      <c r="F92" s="33">
        <v>1</v>
      </c>
      <c r="G92" s="261"/>
      <c r="H92" s="65"/>
      <c r="I92" s="42"/>
      <c r="J92" s="43"/>
      <c r="K92" s="43"/>
      <c r="L92" s="43">
        <f>C92</f>
        <v>36.260999999999996</v>
      </c>
      <c r="M92" s="43"/>
      <c r="N92" s="43"/>
      <c r="O92" s="43"/>
      <c r="P92" s="43"/>
      <c r="Q92" s="43"/>
    </row>
    <row r="93" spans="1:17" ht="15" customHeight="1" x14ac:dyDescent="0.25">
      <c r="A93" s="150">
        <v>2.23</v>
      </c>
      <c r="B93" s="262" t="s">
        <v>158</v>
      </c>
      <c r="C93" s="34">
        <f t="shared" si="4"/>
        <v>15.5648</v>
      </c>
      <c r="D93" s="131">
        <v>6.08</v>
      </c>
      <c r="E93" s="17">
        <v>2.56</v>
      </c>
      <c r="F93" s="33">
        <v>1</v>
      </c>
      <c r="G93" s="261"/>
      <c r="H93" s="65"/>
      <c r="I93" s="42"/>
      <c r="J93" s="43"/>
      <c r="K93" s="43"/>
      <c r="L93" s="43"/>
      <c r="M93" s="43"/>
      <c r="N93" s="43"/>
      <c r="O93" s="43"/>
      <c r="P93" s="43"/>
      <c r="Q93" s="43">
        <f>C93</f>
        <v>15.5648</v>
      </c>
    </row>
    <row r="94" spans="1:17" ht="15" customHeight="1" x14ac:dyDescent="0.25">
      <c r="A94" s="219">
        <v>7.75</v>
      </c>
      <c r="B94" s="317" t="s">
        <v>168</v>
      </c>
      <c r="C94" s="34">
        <f t="shared" si="4"/>
        <v>31.619999999999997</v>
      </c>
      <c r="D94" s="131">
        <f>13.81-1.41</f>
        <v>12.4</v>
      </c>
      <c r="E94" s="17">
        <v>2.5499999999999998</v>
      </c>
      <c r="F94" s="33">
        <v>1</v>
      </c>
      <c r="G94" s="261"/>
      <c r="H94" s="65"/>
      <c r="I94" s="42"/>
      <c r="J94" s="43"/>
      <c r="K94" s="43"/>
      <c r="L94" s="43">
        <f>C94</f>
        <v>31.619999999999997</v>
      </c>
      <c r="M94" s="43"/>
      <c r="N94" s="43"/>
      <c r="O94" s="43"/>
      <c r="P94" s="43"/>
      <c r="Q94" s="43"/>
    </row>
    <row r="95" spans="1:17" ht="15" customHeight="1" x14ac:dyDescent="0.25">
      <c r="A95" s="150">
        <v>13.98</v>
      </c>
      <c r="B95" s="262" t="s">
        <v>244</v>
      </c>
      <c r="C95" s="34">
        <f t="shared" si="4"/>
        <v>27.514499999999995</v>
      </c>
      <c r="D95" s="131">
        <f>16.48-5.69</f>
        <v>10.79</v>
      </c>
      <c r="E95" s="17">
        <v>2.5499999999999998</v>
      </c>
      <c r="F95" s="33">
        <v>1</v>
      </c>
      <c r="G95" s="261"/>
      <c r="H95" s="65"/>
      <c r="I95" s="42"/>
      <c r="J95" s="43"/>
      <c r="K95" s="43"/>
      <c r="L95" s="43">
        <f>C95</f>
        <v>27.514499999999995</v>
      </c>
      <c r="M95" s="43"/>
      <c r="N95" s="43"/>
      <c r="O95" s="43"/>
      <c r="P95" s="43"/>
      <c r="Q95" s="43"/>
    </row>
    <row r="96" spans="1:17" ht="15" customHeight="1" x14ac:dyDescent="0.25">
      <c r="A96" s="150"/>
      <c r="B96" s="262"/>
      <c r="C96" s="34">
        <f t="shared" si="4"/>
        <v>14.509499999999999</v>
      </c>
      <c r="D96" s="131">
        <v>5.69</v>
      </c>
      <c r="E96" s="17">
        <v>2.5499999999999998</v>
      </c>
      <c r="F96" s="33">
        <v>1</v>
      </c>
      <c r="G96" s="261"/>
      <c r="H96" s="65">
        <f t="shared" ref="H96" si="79">C96</f>
        <v>14.509499999999999</v>
      </c>
      <c r="I96" s="42">
        <f t="shared" ref="I96" si="80">H96-J96</f>
        <v>14.509499999999999</v>
      </c>
      <c r="J96" s="43"/>
      <c r="K96" s="43"/>
      <c r="L96" s="43">
        <f t="shared" ref="L96" si="81">I96</f>
        <v>14.509499999999999</v>
      </c>
      <c r="M96" s="43"/>
      <c r="N96" s="43"/>
      <c r="O96" s="43"/>
      <c r="P96" s="43"/>
      <c r="Q96" s="43"/>
    </row>
    <row r="97" spans="1:17" ht="15" customHeight="1" x14ac:dyDescent="0.25">
      <c r="A97" s="150">
        <v>2.14</v>
      </c>
      <c r="B97" s="262" t="s">
        <v>303</v>
      </c>
      <c r="C97" s="34">
        <f t="shared" si="4"/>
        <v>21.401600000000002</v>
      </c>
      <c r="D97" s="131">
        <f>5.98-1.8</f>
        <v>4.1800000000000006</v>
      </c>
      <c r="E97" s="17">
        <v>2.56</v>
      </c>
      <c r="F97" s="33">
        <v>2</v>
      </c>
      <c r="G97" s="261"/>
      <c r="H97" s="65"/>
      <c r="I97" s="42"/>
      <c r="J97" s="43"/>
      <c r="K97" s="43"/>
      <c r="L97" s="43"/>
      <c r="M97" s="43"/>
      <c r="N97" s="43"/>
      <c r="O97" s="43"/>
      <c r="P97" s="43">
        <f>C97</f>
        <v>21.401600000000002</v>
      </c>
      <c r="Q97" s="43"/>
    </row>
    <row r="98" spans="1:17" ht="15" customHeight="1" x14ac:dyDescent="0.25">
      <c r="A98" s="150"/>
      <c r="B98" s="262"/>
      <c r="C98" s="34">
        <f t="shared" si="4"/>
        <v>4.6080000000000005</v>
      </c>
      <c r="D98" s="131">
        <v>1.8</v>
      </c>
      <c r="E98" s="17">
        <v>2.56</v>
      </c>
      <c r="F98" s="33">
        <v>1</v>
      </c>
      <c r="G98" s="261"/>
      <c r="H98" s="65">
        <f t="shared" ref="H98" si="82">C98</f>
        <v>4.6080000000000005</v>
      </c>
      <c r="I98" s="42"/>
      <c r="J98" s="43">
        <f t="shared" ref="J98" si="83">H98-I98</f>
        <v>4.6080000000000005</v>
      </c>
      <c r="K98" s="43"/>
      <c r="L98" s="43"/>
      <c r="M98" s="43"/>
      <c r="N98" s="43"/>
      <c r="O98" s="43"/>
      <c r="P98" s="43">
        <f>J98</f>
        <v>4.6080000000000005</v>
      </c>
      <c r="Q98" s="43"/>
    </row>
    <row r="99" spans="1:17" ht="15" customHeight="1" x14ac:dyDescent="0.25">
      <c r="A99" s="150">
        <v>4.3</v>
      </c>
      <c r="B99" s="262" t="s">
        <v>177</v>
      </c>
      <c r="C99" s="34">
        <f t="shared" si="4"/>
        <v>12.240000000000002</v>
      </c>
      <c r="D99" s="131">
        <f>8.46-4.38</f>
        <v>4.080000000000001</v>
      </c>
      <c r="E99" s="17">
        <v>3</v>
      </c>
      <c r="F99" s="33">
        <v>1</v>
      </c>
      <c r="G99" s="261"/>
      <c r="H99" s="65"/>
      <c r="I99" s="42"/>
      <c r="J99" s="43"/>
      <c r="K99" s="43"/>
      <c r="L99" s="43"/>
      <c r="M99" s="43">
        <f>C99</f>
        <v>12.240000000000002</v>
      </c>
      <c r="N99" s="43"/>
      <c r="O99" s="43"/>
      <c r="P99" s="43"/>
      <c r="Q99" s="43"/>
    </row>
    <row r="100" spans="1:17" ht="15" customHeight="1" x14ac:dyDescent="0.25">
      <c r="A100" s="150"/>
      <c r="B100" s="262"/>
      <c r="C100" s="34">
        <f t="shared" si="4"/>
        <v>13.14</v>
      </c>
      <c r="D100" s="131">
        <v>4.38</v>
      </c>
      <c r="E100" s="17">
        <v>3</v>
      </c>
      <c r="F100" s="33">
        <v>1</v>
      </c>
      <c r="G100" s="261"/>
      <c r="H100" s="65">
        <f t="shared" ref="H100" si="84">C100</f>
        <v>13.14</v>
      </c>
      <c r="I100" s="42">
        <f t="shared" ref="I100" si="85">H100-J100</f>
        <v>13.14</v>
      </c>
      <c r="J100" s="43"/>
      <c r="K100" s="43"/>
      <c r="L100" s="43"/>
      <c r="M100" s="43">
        <f>C100</f>
        <v>13.14</v>
      </c>
      <c r="N100" s="43"/>
      <c r="O100" s="43"/>
      <c r="P100" s="43"/>
      <c r="Q100" s="43"/>
    </row>
    <row r="101" spans="1:17" ht="15" customHeight="1" x14ac:dyDescent="0.25">
      <c r="A101" s="150">
        <v>11.76</v>
      </c>
      <c r="B101" s="262" t="s">
        <v>354</v>
      </c>
      <c r="C101" s="34">
        <f t="shared" si="4"/>
        <v>37.89</v>
      </c>
      <c r="D101" s="131">
        <v>13.75</v>
      </c>
      <c r="E101" s="17">
        <v>3</v>
      </c>
      <c r="F101" s="33">
        <v>1</v>
      </c>
      <c r="G101" s="261">
        <v>3.36</v>
      </c>
      <c r="H101" s="65"/>
      <c r="I101" s="42"/>
      <c r="J101" s="43"/>
      <c r="K101" s="43"/>
      <c r="L101" s="43"/>
      <c r="M101" s="43"/>
      <c r="N101" s="43"/>
      <c r="O101" s="43"/>
      <c r="P101" s="43"/>
      <c r="Q101" s="43">
        <f>C101</f>
        <v>37.89</v>
      </c>
    </row>
    <row r="102" spans="1:17" ht="15" customHeight="1" x14ac:dyDescent="0.25">
      <c r="A102" s="150">
        <v>12.76</v>
      </c>
      <c r="B102" s="262" t="s">
        <v>355</v>
      </c>
      <c r="C102" s="34">
        <f t="shared" si="4"/>
        <v>30.210000000000008</v>
      </c>
      <c r="D102" s="131">
        <f>14.38-3.19</f>
        <v>11.190000000000001</v>
      </c>
      <c r="E102" s="17">
        <v>3</v>
      </c>
      <c r="F102" s="33">
        <v>1</v>
      </c>
      <c r="G102" s="261">
        <v>3.36</v>
      </c>
      <c r="H102" s="65"/>
      <c r="I102" s="42"/>
      <c r="J102" s="43"/>
      <c r="K102" s="43"/>
      <c r="L102" s="43"/>
      <c r="M102" s="43"/>
      <c r="N102" s="43"/>
      <c r="O102" s="43"/>
      <c r="P102" s="43"/>
      <c r="Q102" s="43">
        <f>C102</f>
        <v>30.210000000000008</v>
      </c>
    </row>
    <row r="103" spans="1:17" ht="15" customHeight="1" x14ac:dyDescent="0.25">
      <c r="A103" s="150"/>
      <c r="B103" s="262"/>
      <c r="C103" s="34">
        <f t="shared" si="4"/>
        <v>9.57</v>
      </c>
      <c r="D103" s="131">
        <v>3.19</v>
      </c>
      <c r="E103" s="17">
        <v>3</v>
      </c>
      <c r="F103" s="33">
        <v>1</v>
      </c>
      <c r="G103" s="261"/>
      <c r="H103" s="65">
        <f t="shared" ref="H103" si="86">C103</f>
        <v>9.57</v>
      </c>
      <c r="I103" s="42"/>
      <c r="J103" s="43">
        <f t="shared" ref="J103" si="87">H103-I103</f>
        <v>9.57</v>
      </c>
      <c r="K103" s="43"/>
      <c r="L103" s="43"/>
      <c r="M103" s="43"/>
      <c r="N103" s="43"/>
      <c r="O103" s="43"/>
      <c r="P103" s="43"/>
      <c r="Q103" s="43">
        <f t="shared" ref="Q103" si="88">J103</f>
        <v>9.57</v>
      </c>
    </row>
    <row r="104" spans="1:17" ht="15" customHeight="1" x14ac:dyDescent="0.25">
      <c r="A104" s="150">
        <v>2.8</v>
      </c>
      <c r="B104" s="262" t="s">
        <v>158</v>
      </c>
      <c r="C104" s="34">
        <f t="shared" si="4"/>
        <v>20.399999999999999</v>
      </c>
      <c r="D104" s="131">
        <v>6.8</v>
      </c>
      <c r="E104" s="17">
        <v>3</v>
      </c>
      <c r="F104" s="33">
        <v>1</v>
      </c>
      <c r="G104" s="261"/>
      <c r="H104" s="65"/>
      <c r="I104" s="42"/>
      <c r="J104" s="43"/>
      <c r="K104" s="43"/>
      <c r="L104" s="43"/>
      <c r="M104" s="43"/>
      <c r="N104" s="43"/>
      <c r="O104" s="43"/>
      <c r="P104" s="43"/>
      <c r="Q104" s="43">
        <f>C104</f>
        <v>20.399999999999999</v>
      </c>
    </row>
    <row r="105" spans="1:17" ht="15" customHeight="1" x14ac:dyDescent="0.25">
      <c r="A105" s="219">
        <v>50.63</v>
      </c>
      <c r="B105" s="317" t="s">
        <v>611</v>
      </c>
      <c r="C105" s="34">
        <f t="shared" si="4"/>
        <v>41.95</v>
      </c>
      <c r="D105" s="131">
        <f>31.8-(1.8+9.61)</f>
        <v>20.39</v>
      </c>
      <c r="E105" s="17">
        <v>3</v>
      </c>
      <c r="F105" s="33">
        <v>1</v>
      </c>
      <c r="G105" s="261">
        <v>19.22</v>
      </c>
      <c r="H105" s="65"/>
      <c r="I105" s="42"/>
      <c r="J105" s="43"/>
      <c r="K105" s="43"/>
      <c r="L105" s="43"/>
      <c r="M105" s="43"/>
      <c r="N105" s="43"/>
      <c r="O105" s="43"/>
      <c r="P105" s="43"/>
      <c r="Q105" s="43">
        <f>C105</f>
        <v>41.95</v>
      </c>
    </row>
    <row r="106" spans="1:17" ht="15" customHeight="1" x14ac:dyDescent="0.25">
      <c r="A106" s="150"/>
      <c r="B106" s="262"/>
      <c r="C106" s="34">
        <f t="shared" si="4"/>
        <v>28.83</v>
      </c>
      <c r="D106" s="131">
        <v>9.61</v>
      </c>
      <c r="E106" s="17">
        <v>3</v>
      </c>
      <c r="F106" s="33">
        <v>1</v>
      </c>
      <c r="G106" s="261"/>
      <c r="H106" s="65">
        <f t="shared" ref="H106" si="89">C106</f>
        <v>28.83</v>
      </c>
      <c r="I106" s="42"/>
      <c r="J106" s="43">
        <f t="shared" ref="J106" si="90">H106-I106</f>
        <v>28.83</v>
      </c>
      <c r="K106" s="43"/>
      <c r="L106" s="43"/>
      <c r="M106" s="43"/>
      <c r="N106" s="43"/>
      <c r="O106" s="43"/>
      <c r="P106" s="43"/>
      <c r="Q106" s="43">
        <f t="shared" ref="Q106" si="91">J106</f>
        <v>28.83</v>
      </c>
    </row>
    <row r="107" spans="1:17" ht="15" customHeight="1" x14ac:dyDescent="0.25">
      <c r="A107" s="150">
        <v>4.84</v>
      </c>
      <c r="B107" s="262" t="s">
        <v>356</v>
      </c>
      <c r="C107" s="34">
        <f t="shared" si="4"/>
        <v>26.910000000000004</v>
      </c>
      <c r="D107" s="131">
        <v>8.9700000000000006</v>
      </c>
      <c r="E107" s="17">
        <v>3</v>
      </c>
      <c r="F107" s="33">
        <v>1</v>
      </c>
      <c r="G107" s="261"/>
      <c r="H107" s="65"/>
      <c r="I107" s="42"/>
      <c r="J107" s="43"/>
      <c r="K107" s="43"/>
      <c r="L107" s="43"/>
      <c r="M107" s="43"/>
      <c r="N107" s="43"/>
      <c r="O107" s="43"/>
      <c r="P107" s="43"/>
      <c r="Q107" s="43">
        <f>C107</f>
        <v>26.910000000000004</v>
      </c>
    </row>
    <row r="108" spans="1:17" ht="15" customHeight="1" x14ac:dyDescent="0.25">
      <c r="A108" s="150">
        <v>4.84</v>
      </c>
      <c r="B108" s="262" t="s">
        <v>357</v>
      </c>
      <c r="C108" s="34">
        <f t="shared" si="4"/>
        <v>26.910000000000004</v>
      </c>
      <c r="D108" s="131">
        <v>8.9700000000000006</v>
      </c>
      <c r="E108" s="17">
        <v>3</v>
      </c>
      <c r="F108" s="33">
        <v>1</v>
      </c>
      <c r="G108" s="261"/>
      <c r="H108" s="65"/>
      <c r="I108" s="42"/>
      <c r="J108" s="43"/>
      <c r="K108" s="43"/>
      <c r="L108" s="43"/>
      <c r="M108" s="43"/>
      <c r="N108" s="43"/>
      <c r="O108" s="43"/>
      <c r="P108" s="43"/>
      <c r="Q108" s="43">
        <f>C108</f>
        <v>26.910000000000004</v>
      </c>
    </row>
    <row r="109" spans="1:17" ht="15" customHeight="1" x14ac:dyDescent="0.25">
      <c r="A109" s="150">
        <v>3.76</v>
      </c>
      <c r="B109" s="262" t="s">
        <v>358</v>
      </c>
      <c r="C109" s="34">
        <f t="shared" si="4"/>
        <v>24.509999999999998</v>
      </c>
      <c r="D109" s="131">
        <v>8.17</v>
      </c>
      <c r="E109" s="17">
        <v>3</v>
      </c>
      <c r="F109" s="33">
        <v>1</v>
      </c>
      <c r="G109" s="261"/>
      <c r="H109" s="65"/>
      <c r="I109" s="42"/>
      <c r="J109" s="43"/>
      <c r="K109" s="43"/>
      <c r="L109" s="43"/>
      <c r="M109" s="43"/>
      <c r="N109" s="43"/>
      <c r="O109" s="43"/>
      <c r="P109" s="43">
        <f>C109</f>
        <v>24.509999999999998</v>
      </c>
      <c r="Q109" s="43"/>
    </row>
    <row r="110" spans="1:17" ht="15" customHeight="1" x14ac:dyDescent="0.25">
      <c r="A110" s="150">
        <v>2.62</v>
      </c>
      <c r="B110" s="262" t="s">
        <v>359</v>
      </c>
      <c r="C110" s="34">
        <f t="shared" si="4"/>
        <v>15.75</v>
      </c>
      <c r="D110" s="131">
        <f>6.59-1.34</f>
        <v>5.25</v>
      </c>
      <c r="E110" s="17">
        <v>3</v>
      </c>
      <c r="F110" s="33">
        <v>1</v>
      </c>
      <c r="G110" s="261"/>
      <c r="H110" s="65"/>
      <c r="I110" s="42"/>
      <c r="J110" s="43"/>
      <c r="K110" s="43"/>
      <c r="L110" s="43"/>
      <c r="M110" s="43"/>
      <c r="N110" s="43"/>
      <c r="O110" s="43"/>
      <c r="P110" s="43"/>
      <c r="Q110" s="43">
        <f>C110</f>
        <v>15.75</v>
      </c>
    </row>
    <row r="111" spans="1:17" ht="15" customHeight="1" x14ac:dyDescent="0.25">
      <c r="A111" s="150">
        <v>2.41</v>
      </c>
      <c r="B111" s="262" t="s">
        <v>360</v>
      </c>
      <c r="C111" s="34">
        <f t="shared" si="4"/>
        <v>9.4200000000000017</v>
      </c>
      <c r="D111" s="131">
        <f>4.48-1.34</f>
        <v>3.1400000000000006</v>
      </c>
      <c r="E111" s="17">
        <v>3</v>
      </c>
      <c r="F111" s="33">
        <v>1</v>
      </c>
      <c r="G111" s="261"/>
      <c r="H111" s="65"/>
      <c r="I111" s="42"/>
      <c r="J111" s="43"/>
      <c r="K111" s="43"/>
      <c r="L111" s="43"/>
      <c r="M111" s="43"/>
      <c r="N111" s="43"/>
      <c r="O111" s="43"/>
      <c r="P111" s="43"/>
      <c r="Q111" s="43">
        <f>C111</f>
        <v>9.4200000000000017</v>
      </c>
    </row>
    <row r="112" spans="1:17" ht="15" customHeight="1" x14ac:dyDescent="0.25">
      <c r="A112" s="150"/>
      <c r="B112" s="262"/>
      <c r="C112" s="34">
        <f t="shared" si="4"/>
        <v>4.0200000000000005</v>
      </c>
      <c r="D112" s="131">
        <v>1.34</v>
      </c>
      <c r="E112" s="17">
        <v>3</v>
      </c>
      <c r="F112" s="33">
        <v>1</v>
      </c>
      <c r="G112" s="261"/>
      <c r="H112" s="65">
        <f t="shared" ref="H112" si="92">C112</f>
        <v>4.0200000000000005</v>
      </c>
      <c r="I112" s="42"/>
      <c r="J112" s="43">
        <f t="shared" ref="J112" si="93">H112-I112</f>
        <v>4.0200000000000005</v>
      </c>
      <c r="K112" s="43"/>
      <c r="L112" s="43"/>
      <c r="M112" s="43"/>
      <c r="N112" s="43"/>
      <c r="O112" s="43"/>
      <c r="P112" s="43"/>
      <c r="Q112" s="43">
        <f t="shared" ref="Q112" si="94">J112</f>
        <v>4.0200000000000005</v>
      </c>
    </row>
    <row r="113" spans="1:18" ht="15" customHeight="1" x14ac:dyDescent="0.25">
      <c r="A113" s="219">
        <v>32.42</v>
      </c>
      <c r="B113" s="317" t="s">
        <v>361</v>
      </c>
      <c r="C113" s="34">
        <f t="shared" si="4"/>
        <v>54.85649999999999</v>
      </c>
      <c r="D113" s="131">
        <f>28.38-(1.41+4.14)</f>
        <v>22.83</v>
      </c>
      <c r="E113" s="17">
        <v>2.5499999999999998</v>
      </c>
      <c r="F113" s="33">
        <v>1</v>
      </c>
      <c r="G113" s="261">
        <v>3.36</v>
      </c>
      <c r="H113" s="65"/>
      <c r="I113" s="42"/>
      <c r="J113" s="43"/>
      <c r="K113" s="43"/>
      <c r="L113" s="43">
        <f>C113</f>
        <v>54.85649999999999</v>
      </c>
      <c r="M113" s="43"/>
      <c r="N113" s="43"/>
      <c r="O113" s="43"/>
      <c r="P113" s="43"/>
      <c r="Q113" s="43"/>
    </row>
    <row r="114" spans="1:18" ht="15" customHeight="1" x14ac:dyDescent="0.25">
      <c r="A114" s="150"/>
      <c r="B114" s="262"/>
      <c r="C114" s="34">
        <f t="shared" si="4"/>
        <v>10.556999999999999</v>
      </c>
      <c r="D114" s="131">
        <v>4.1399999999999997</v>
      </c>
      <c r="E114" s="17">
        <v>2.5499999999999998</v>
      </c>
      <c r="F114" s="33">
        <v>1</v>
      </c>
      <c r="G114" s="261"/>
      <c r="H114" s="65">
        <f t="shared" ref="H114" si="95">C114</f>
        <v>10.556999999999999</v>
      </c>
      <c r="I114" s="42">
        <f t="shared" ref="I114" si="96">H114-J114</f>
        <v>10.556999999999999</v>
      </c>
      <c r="J114" s="43"/>
      <c r="K114" s="43"/>
      <c r="L114" s="43">
        <f t="shared" ref="L114" si="97">I114</f>
        <v>10.556999999999999</v>
      </c>
      <c r="M114" s="43"/>
      <c r="N114" s="43"/>
      <c r="O114" s="43"/>
      <c r="P114" s="43"/>
      <c r="Q114" s="43"/>
    </row>
    <row r="115" spans="1:18" ht="15" customHeight="1" x14ac:dyDescent="0.25">
      <c r="A115" s="150">
        <v>42.54</v>
      </c>
      <c r="B115" s="262" t="s">
        <v>362</v>
      </c>
      <c r="C115" s="34">
        <f t="shared" si="4"/>
        <v>35.245499999999993</v>
      </c>
      <c r="D115" s="131">
        <f>29.38-14.57</f>
        <v>14.809999999999999</v>
      </c>
      <c r="E115" s="17">
        <v>2.5499999999999998</v>
      </c>
      <c r="F115" s="33">
        <v>1</v>
      </c>
      <c r="G115" s="261">
        <v>2.52</v>
      </c>
      <c r="H115" s="65"/>
      <c r="I115" s="42"/>
      <c r="J115" s="43"/>
      <c r="K115" s="43"/>
      <c r="L115" s="43">
        <f>C115</f>
        <v>35.245499999999993</v>
      </c>
      <c r="M115" s="43"/>
      <c r="N115" s="43"/>
      <c r="O115" s="43"/>
      <c r="P115" s="43"/>
      <c r="Q115" s="43"/>
    </row>
    <row r="116" spans="1:18" ht="15" customHeight="1" x14ac:dyDescent="0.25">
      <c r="A116" s="150"/>
      <c r="B116" s="262"/>
      <c r="C116" s="34">
        <f t="shared" si="4"/>
        <v>37.153500000000001</v>
      </c>
      <c r="D116" s="131">
        <v>14.57</v>
      </c>
      <c r="E116" s="17">
        <v>2.5499999999999998</v>
      </c>
      <c r="F116" s="33">
        <v>1</v>
      </c>
      <c r="G116" s="261"/>
      <c r="H116" s="65">
        <f t="shared" ref="H116" si="98">C116</f>
        <v>37.153500000000001</v>
      </c>
      <c r="I116" s="42">
        <f t="shared" ref="I116" si="99">H116-J116</f>
        <v>37.153500000000001</v>
      </c>
      <c r="J116" s="43"/>
      <c r="K116" s="43"/>
      <c r="L116" s="43">
        <f t="shared" ref="L116" si="100">I116</f>
        <v>37.153500000000001</v>
      </c>
      <c r="M116" s="43"/>
      <c r="N116" s="43"/>
      <c r="O116" s="43"/>
      <c r="P116" s="43"/>
      <c r="Q116" s="43"/>
    </row>
    <row r="117" spans="1:18" ht="15" customHeight="1" x14ac:dyDescent="0.25">
      <c r="A117" s="219">
        <v>4.59</v>
      </c>
      <c r="B117" s="317" t="s">
        <v>363</v>
      </c>
      <c r="C117" s="34">
        <f t="shared" ref="C117:C125" si="101">D117*E117*F117-G117</f>
        <v>20.909999999999997</v>
      </c>
      <c r="D117" s="131">
        <f>8.2</f>
        <v>8.1999999999999993</v>
      </c>
      <c r="E117" s="17">
        <v>2.5499999999999998</v>
      </c>
      <c r="F117" s="33">
        <v>1</v>
      </c>
      <c r="G117" s="261"/>
      <c r="H117" s="65"/>
      <c r="I117" s="42"/>
      <c r="J117" s="43"/>
      <c r="K117" s="43"/>
      <c r="L117" s="43">
        <f>C117</f>
        <v>20.909999999999997</v>
      </c>
      <c r="M117" s="43"/>
      <c r="N117" s="43"/>
      <c r="O117" s="43"/>
      <c r="P117" s="43"/>
      <c r="Q117" s="43"/>
    </row>
    <row r="118" spans="1:18" ht="15" customHeight="1" x14ac:dyDescent="0.25">
      <c r="A118" s="150">
        <v>2.4</v>
      </c>
      <c r="B118" s="262" t="s">
        <v>366</v>
      </c>
      <c r="C118" s="34">
        <f t="shared" si="101"/>
        <v>32.768000000000001</v>
      </c>
      <c r="D118" s="131">
        <v>6.4</v>
      </c>
      <c r="E118" s="17">
        <v>2.56</v>
      </c>
      <c r="F118" s="33">
        <v>2</v>
      </c>
      <c r="G118" s="261"/>
      <c r="H118" s="65"/>
      <c r="I118" s="42"/>
      <c r="J118" s="43"/>
      <c r="K118" s="43"/>
      <c r="L118" s="43"/>
      <c r="M118" s="43"/>
      <c r="N118" s="43"/>
      <c r="O118" s="43"/>
      <c r="P118" s="43"/>
      <c r="Q118" s="43">
        <f>C118</f>
        <v>32.768000000000001</v>
      </c>
    </row>
    <row r="119" spans="1:18" ht="15" customHeight="1" x14ac:dyDescent="0.25">
      <c r="A119" s="150">
        <v>4.58</v>
      </c>
      <c r="B119" s="262" t="s">
        <v>258</v>
      </c>
      <c r="C119" s="34">
        <f t="shared" si="101"/>
        <v>21.878999999999998</v>
      </c>
      <c r="D119" s="131">
        <f>8.58</f>
        <v>8.58</v>
      </c>
      <c r="E119" s="17">
        <v>2.5499999999999998</v>
      </c>
      <c r="F119" s="33">
        <v>1</v>
      </c>
      <c r="G119" s="261"/>
      <c r="H119" s="65"/>
      <c r="I119" s="42"/>
      <c r="J119" s="43"/>
      <c r="K119" s="43"/>
      <c r="L119" s="43">
        <f>C119</f>
        <v>21.878999999999998</v>
      </c>
      <c r="M119" s="43"/>
      <c r="N119" s="43"/>
      <c r="O119" s="43"/>
      <c r="P119" s="43"/>
      <c r="Q119" s="43"/>
    </row>
    <row r="120" spans="1:18" ht="15" customHeight="1" x14ac:dyDescent="0.25">
      <c r="A120" s="150">
        <v>2.99</v>
      </c>
      <c r="B120" s="262" t="s">
        <v>364</v>
      </c>
      <c r="C120" s="34">
        <f t="shared" si="101"/>
        <v>17.3568</v>
      </c>
      <c r="D120" s="131">
        <v>6.78</v>
      </c>
      <c r="E120" s="17">
        <v>2.56</v>
      </c>
      <c r="F120" s="33">
        <v>1</v>
      </c>
      <c r="G120" s="261"/>
      <c r="H120" s="65">
        <f t="shared" si="60"/>
        <v>17.3568</v>
      </c>
      <c r="I120" s="42"/>
      <c r="J120" s="43">
        <f t="shared" ref="J120" si="102">H120-I120</f>
        <v>17.3568</v>
      </c>
      <c r="K120" s="43"/>
      <c r="L120" s="43"/>
      <c r="M120" s="43"/>
      <c r="N120" s="43"/>
      <c r="O120" s="43"/>
      <c r="P120" s="43">
        <f>J120</f>
        <v>17.3568</v>
      </c>
      <c r="Q120" s="43"/>
    </row>
    <row r="121" spans="1:18" ht="15" customHeight="1" x14ac:dyDescent="0.25">
      <c r="A121" s="150">
        <v>21.06</v>
      </c>
      <c r="B121" s="262" t="s">
        <v>365</v>
      </c>
      <c r="C121" s="34">
        <f t="shared" si="101"/>
        <v>34.894499999999994</v>
      </c>
      <c r="D121" s="131">
        <f>18.57-3.98</f>
        <v>14.59</v>
      </c>
      <c r="E121" s="17">
        <v>2.5499999999999998</v>
      </c>
      <c r="F121" s="33">
        <v>1</v>
      </c>
      <c r="G121" s="261">
        <v>2.31</v>
      </c>
      <c r="H121" s="65"/>
      <c r="I121" s="42"/>
      <c r="J121" s="43"/>
      <c r="K121" s="43"/>
      <c r="L121" s="43">
        <f>C121</f>
        <v>34.894499999999994</v>
      </c>
      <c r="M121" s="43"/>
      <c r="N121" s="43"/>
      <c r="O121" s="43"/>
      <c r="P121" s="43"/>
      <c r="Q121" s="43"/>
    </row>
    <row r="122" spans="1:18" ht="15" customHeight="1" x14ac:dyDescent="0.25">
      <c r="A122" s="150"/>
      <c r="B122" s="262"/>
      <c r="C122" s="34">
        <f t="shared" si="101"/>
        <v>10.148999999999999</v>
      </c>
      <c r="D122" s="131">
        <v>3.98</v>
      </c>
      <c r="E122" s="17">
        <v>2.5499999999999998</v>
      </c>
      <c r="F122" s="33">
        <v>1</v>
      </c>
      <c r="G122" s="261"/>
      <c r="H122" s="65">
        <f t="shared" ref="H122" si="103">C122</f>
        <v>10.148999999999999</v>
      </c>
      <c r="I122" s="42">
        <f t="shared" ref="I122" si="104">H122-J122</f>
        <v>10.148999999999999</v>
      </c>
      <c r="J122" s="43"/>
      <c r="K122" s="43"/>
      <c r="L122" s="43">
        <f t="shared" ref="L122" si="105">I122</f>
        <v>10.148999999999999</v>
      </c>
      <c r="M122" s="43"/>
      <c r="N122" s="43"/>
      <c r="O122" s="43"/>
      <c r="P122" s="43"/>
      <c r="Q122" s="43"/>
    </row>
    <row r="123" spans="1:18" ht="15" customHeight="1" x14ac:dyDescent="0.25">
      <c r="A123" s="150">
        <v>24.95</v>
      </c>
      <c r="B123" s="262" t="s">
        <v>164</v>
      </c>
      <c r="C123" s="34">
        <f t="shared" si="101"/>
        <v>43.691999999999993</v>
      </c>
      <c r="D123" s="131">
        <f>24.71-6.67</f>
        <v>18.04</v>
      </c>
      <c r="E123" s="17">
        <v>2.5499999999999998</v>
      </c>
      <c r="F123" s="33">
        <v>1</v>
      </c>
      <c r="G123" s="261">
        <v>2.31</v>
      </c>
      <c r="H123" s="65"/>
      <c r="I123" s="42"/>
      <c r="J123" s="43"/>
      <c r="K123" s="43"/>
      <c r="L123" s="43">
        <f>C123</f>
        <v>43.691999999999993</v>
      </c>
      <c r="M123" s="43"/>
      <c r="N123" s="43"/>
      <c r="O123" s="43"/>
      <c r="P123" s="43"/>
      <c r="Q123" s="43"/>
    </row>
    <row r="124" spans="1:18" ht="15" customHeight="1" x14ac:dyDescent="0.25">
      <c r="A124" s="150"/>
      <c r="B124" s="262"/>
      <c r="C124" s="34">
        <f t="shared" si="101"/>
        <v>17.008499999999998</v>
      </c>
      <c r="D124" s="131">
        <v>6.67</v>
      </c>
      <c r="E124" s="17">
        <v>2.5499999999999998</v>
      </c>
      <c r="F124" s="33">
        <v>1</v>
      </c>
      <c r="G124" s="261"/>
      <c r="H124" s="65">
        <f t="shared" ref="H124" si="106">C124</f>
        <v>17.008499999999998</v>
      </c>
      <c r="I124" s="42">
        <f t="shared" ref="I124" si="107">H124-J124</f>
        <v>17.008499999999998</v>
      </c>
      <c r="J124" s="43"/>
      <c r="K124" s="43"/>
      <c r="L124" s="43">
        <f t="shared" ref="L124" si="108">I124</f>
        <v>17.008499999999998</v>
      </c>
      <c r="M124" s="43"/>
      <c r="N124" s="43"/>
      <c r="O124" s="43"/>
      <c r="P124" s="43"/>
      <c r="Q124" s="43"/>
    </row>
    <row r="125" spans="1:18" ht="15" customHeight="1" x14ac:dyDescent="0.25">
      <c r="A125" s="219">
        <v>67.58</v>
      </c>
      <c r="B125" s="317" t="s">
        <v>392</v>
      </c>
      <c r="C125" s="335">
        <f t="shared" si="101"/>
        <v>193.77799999999996</v>
      </c>
      <c r="D125" s="336">
        <v>33.409999999999997</v>
      </c>
      <c r="E125" s="337">
        <v>5.8</v>
      </c>
      <c r="F125" s="338">
        <v>1</v>
      </c>
      <c r="G125" s="339"/>
      <c r="H125" s="340">
        <f t="shared" si="60"/>
        <v>193.77799999999996</v>
      </c>
      <c r="I125" s="341"/>
      <c r="J125" s="342"/>
      <c r="K125" s="342"/>
      <c r="L125" s="342"/>
      <c r="M125" s="342"/>
      <c r="N125" s="342"/>
      <c r="O125" s="342"/>
      <c r="P125" s="342"/>
      <c r="Q125" s="342"/>
      <c r="R125" s="531"/>
    </row>
    <row r="126" spans="1:18" ht="20.100000000000001" customHeight="1" x14ac:dyDescent="0.25">
      <c r="A126" s="151"/>
      <c r="B126" s="256" t="s">
        <v>22</v>
      </c>
      <c r="C126" s="255">
        <f>SUM(C13:C125)</f>
        <v>3202.6116999999986</v>
      </c>
      <c r="D126" s="255"/>
      <c r="E126" s="255"/>
      <c r="F126" s="255"/>
      <c r="G126" s="255"/>
      <c r="H126" s="255">
        <f t="shared" ref="H126:Q126" si="109">SUM(H13:H125)</f>
        <v>1101.4063000000001</v>
      </c>
      <c r="I126" s="255">
        <f t="shared" si="109"/>
        <v>785.38750000000005</v>
      </c>
      <c r="J126" s="255">
        <f t="shared" si="109"/>
        <v>122.24080000000001</v>
      </c>
      <c r="K126" s="255">
        <f t="shared" si="109"/>
        <v>0</v>
      </c>
      <c r="L126" s="255">
        <f t="shared" si="109"/>
        <v>2254.0604999999991</v>
      </c>
      <c r="M126" s="255">
        <f t="shared" si="109"/>
        <v>149.00799999999998</v>
      </c>
      <c r="N126" s="255">
        <f t="shared" si="109"/>
        <v>0</v>
      </c>
      <c r="O126" s="255">
        <f t="shared" si="109"/>
        <v>0</v>
      </c>
      <c r="P126" s="255">
        <f t="shared" si="109"/>
        <v>253.34839999999997</v>
      </c>
      <c r="Q126" s="255">
        <f t="shared" si="109"/>
        <v>352.41680000000008</v>
      </c>
      <c r="R126" s="1"/>
    </row>
    <row r="127" spans="1:18" ht="20.100000000000001" customHeight="1" x14ac:dyDescent="0.25">
      <c r="A127" s="151"/>
      <c r="B127" s="257"/>
      <c r="C127" s="127"/>
      <c r="D127" s="127"/>
      <c r="E127" s="127"/>
      <c r="F127" s="127"/>
      <c r="G127" s="127"/>
      <c r="H127" s="127"/>
      <c r="I127" s="127"/>
      <c r="J127" s="127"/>
      <c r="K127" s="127"/>
      <c r="L127" s="258">
        <v>1</v>
      </c>
      <c r="M127" s="258">
        <v>4</v>
      </c>
      <c r="N127" s="258">
        <v>5</v>
      </c>
      <c r="O127" s="258">
        <v>6</v>
      </c>
      <c r="P127" s="258">
        <v>3</v>
      </c>
      <c r="Q127" s="259">
        <v>2</v>
      </c>
    </row>
    <row r="128" spans="1:18" ht="40.049999999999997" customHeight="1" x14ac:dyDescent="0.25">
      <c r="B128" s="843" t="s">
        <v>16</v>
      </c>
      <c r="C128" s="839" t="s">
        <v>17</v>
      </c>
      <c r="D128" s="839" t="s">
        <v>18</v>
      </c>
      <c r="E128" s="839" t="s">
        <v>28</v>
      </c>
      <c r="F128" s="842" t="s">
        <v>19</v>
      </c>
      <c r="G128" s="842" t="s">
        <v>13</v>
      </c>
      <c r="H128" s="842" t="s">
        <v>24</v>
      </c>
      <c r="I128" s="842" t="s">
        <v>45</v>
      </c>
      <c r="J128" s="842" t="s">
        <v>26</v>
      </c>
      <c r="K128" s="844" t="s">
        <v>864</v>
      </c>
      <c r="L128" s="842" t="s">
        <v>69</v>
      </c>
      <c r="M128" s="842" t="s">
        <v>73</v>
      </c>
      <c r="N128" s="842" t="s">
        <v>76</v>
      </c>
      <c r="O128" s="842" t="s">
        <v>77</v>
      </c>
      <c r="P128" s="842" t="s">
        <v>72</v>
      </c>
      <c r="Q128" s="842" t="s">
        <v>70</v>
      </c>
    </row>
    <row r="129" spans="1:18" ht="40.049999999999997" customHeight="1" x14ac:dyDescent="0.25">
      <c r="B129" s="840"/>
      <c r="C129" s="841"/>
      <c r="D129" s="841"/>
      <c r="E129" s="841"/>
      <c r="F129" s="839"/>
      <c r="G129" s="839"/>
      <c r="H129" s="839"/>
      <c r="I129" s="839"/>
      <c r="J129" s="839"/>
      <c r="K129" s="845"/>
      <c r="L129" s="839"/>
      <c r="M129" s="839"/>
      <c r="N129" s="839"/>
      <c r="O129" s="839"/>
      <c r="P129" s="839"/>
      <c r="Q129" s="839"/>
    </row>
    <row r="130" spans="1:18" ht="15" customHeight="1" x14ac:dyDescent="0.25">
      <c r="A130" s="141" t="s">
        <v>204</v>
      </c>
      <c r="B130" s="59" t="s">
        <v>58</v>
      </c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1"/>
    </row>
    <row r="131" spans="1:18" ht="15" customHeight="1" x14ac:dyDescent="0.25">
      <c r="A131" s="563">
        <v>11.68</v>
      </c>
      <c r="B131" s="157" t="s">
        <v>168</v>
      </c>
      <c r="C131" s="34">
        <f t="shared" ref="C131:C138" si="110">D131*E131*F131-G131</f>
        <v>5.1450000000000022</v>
      </c>
      <c r="D131" s="576">
        <f>14.83-10.28</f>
        <v>4.5500000000000007</v>
      </c>
      <c r="E131" s="578">
        <v>2.7</v>
      </c>
      <c r="F131" s="33">
        <v>1</v>
      </c>
      <c r="G131" s="575">
        <v>7.14</v>
      </c>
      <c r="H131" s="575"/>
      <c r="I131" s="575"/>
      <c r="J131" s="575"/>
      <c r="K131" s="575"/>
      <c r="L131" s="578">
        <f>C131</f>
        <v>5.1450000000000022</v>
      </c>
      <c r="M131" s="575"/>
      <c r="N131" s="575"/>
      <c r="O131" s="575"/>
      <c r="P131" s="575"/>
      <c r="Q131" s="575"/>
    </row>
    <row r="132" spans="1:18" ht="15" customHeight="1" x14ac:dyDescent="0.25">
      <c r="A132" s="563"/>
      <c r="B132" s="157"/>
      <c r="C132" s="34">
        <f t="shared" si="110"/>
        <v>27.756</v>
      </c>
      <c r="D132" s="576">
        <v>10.28</v>
      </c>
      <c r="E132" s="578">
        <v>2.7</v>
      </c>
      <c r="F132" s="33">
        <v>1</v>
      </c>
      <c r="G132" s="575"/>
      <c r="H132" s="65">
        <f>C132</f>
        <v>27.756</v>
      </c>
      <c r="I132" s="42">
        <f>H132-J132</f>
        <v>27.756</v>
      </c>
      <c r="J132" s="575"/>
      <c r="K132" s="575"/>
      <c r="L132" s="578">
        <f>I132</f>
        <v>27.756</v>
      </c>
      <c r="M132" s="575"/>
      <c r="N132" s="575"/>
      <c r="O132" s="575"/>
      <c r="P132" s="575"/>
      <c r="Q132" s="575"/>
    </row>
    <row r="133" spans="1:18" ht="15" customHeight="1" x14ac:dyDescent="0.25">
      <c r="A133" s="563"/>
      <c r="B133" s="157"/>
      <c r="C133" s="34">
        <f t="shared" si="110"/>
        <v>50.922000000000004</v>
      </c>
      <c r="D133" s="576">
        <v>18.86</v>
      </c>
      <c r="E133" s="578">
        <v>2.7</v>
      </c>
      <c r="F133" s="33">
        <v>1</v>
      </c>
      <c r="G133" s="575"/>
      <c r="H133" s="65">
        <f>C133</f>
        <v>50.922000000000004</v>
      </c>
      <c r="I133" s="42">
        <f>H133-J133</f>
        <v>50.922000000000004</v>
      </c>
      <c r="J133" s="575"/>
      <c r="K133" s="575"/>
      <c r="L133" s="578">
        <f>I133</f>
        <v>50.922000000000004</v>
      </c>
      <c r="M133" s="575"/>
      <c r="N133" s="575"/>
      <c r="O133" s="575"/>
      <c r="P133" s="575"/>
      <c r="Q133" s="575"/>
    </row>
    <row r="134" spans="1:18" ht="15" customHeight="1" x14ac:dyDescent="0.25">
      <c r="A134" s="564">
        <v>68.709999999999994</v>
      </c>
      <c r="B134" s="220" t="s">
        <v>168</v>
      </c>
      <c r="C134" s="34">
        <f t="shared" si="110"/>
        <v>16.274999999999991</v>
      </c>
      <c r="D134" s="576">
        <f>47.12-(2.65+35.02)</f>
        <v>9.4499999999999957</v>
      </c>
      <c r="E134" s="578">
        <v>2.7</v>
      </c>
      <c r="F134" s="33">
        <v>1</v>
      </c>
      <c r="G134" s="575">
        <v>9.24</v>
      </c>
      <c r="H134" s="575"/>
      <c r="I134" s="575"/>
      <c r="J134" s="575"/>
      <c r="K134" s="575"/>
      <c r="L134" s="578">
        <f>C134</f>
        <v>16.274999999999991</v>
      </c>
      <c r="M134" s="575"/>
      <c r="N134" s="575"/>
      <c r="O134" s="575"/>
      <c r="P134" s="575"/>
      <c r="Q134" s="575"/>
    </row>
    <row r="135" spans="1:18" ht="15" customHeight="1" x14ac:dyDescent="0.25">
      <c r="A135" s="563"/>
      <c r="B135" s="157"/>
      <c r="C135" s="34">
        <f t="shared" si="110"/>
        <v>94.554000000000016</v>
      </c>
      <c r="D135" s="576">
        <v>35.020000000000003</v>
      </c>
      <c r="E135" s="578">
        <v>2.7</v>
      </c>
      <c r="F135" s="33">
        <v>1</v>
      </c>
      <c r="G135" s="575"/>
      <c r="H135" s="65">
        <f>C135</f>
        <v>94.554000000000016</v>
      </c>
      <c r="I135" s="42">
        <f>H135-J135</f>
        <v>94.554000000000016</v>
      </c>
      <c r="J135" s="575"/>
      <c r="K135" s="575"/>
      <c r="L135" s="578">
        <f>I135</f>
        <v>94.554000000000016</v>
      </c>
      <c r="M135" s="575"/>
      <c r="N135" s="575"/>
      <c r="O135" s="575"/>
      <c r="P135" s="575"/>
      <c r="Q135" s="575"/>
    </row>
    <row r="136" spans="1:18" ht="15" customHeight="1" x14ac:dyDescent="0.25">
      <c r="A136" s="563"/>
      <c r="B136" s="157"/>
      <c r="C136" s="34">
        <f t="shared" si="110"/>
        <v>19.656000000000002</v>
      </c>
      <c r="D136" s="576">
        <v>3.64</v>
      </c>
      <c r="E136" s="578">
        <v>2.7</v>
      </c>
      <c r="F136" s="33">
        <v>2</v>
      </c>
      <c r="G136" s="575"/>
      <c r="H136" s="65">
        <f>C136</f>
        <v>19.656000000000002</v>
      </c>
      <c r="I136" s="42">
        <f>H136-J136</f>
        <v>19.656000000000002</v>
      </c>
      <c r="J136" s="575"/>
      <c r="K136" s="575"/>
      <c r="L136" s="578">
        <f>I136</f>
        <v>19.656000000000002</v>
      </c>
      <c r="M136" s="575"/>
      <c r="N136" s="575"/>
      <c r="O136" s="575"/>
      <c r="P136" s="575"/>
      <c r="Q136" s="575"/>
    </row>
    <row r="137" spans="1:18" ht="15" customHeight="1" x14ac:dyDescent="0.25">
      <c r="A137" s="564">
        <v>63.09</v>
      </c>
      <c r="B137" s="220" t="s">
        <v>168</v>
      </c>
      <c r="C137" s="34">
        <f t="shared" si="110"/>
        <v>56.348999999999997</v>
      </c>
      <c r="D137" s="576">
        <f>52.88-(5.57+26.44)</f>
        <v>20.869999999999997</v>
      </c>
      <c r="E137" s="578">
        <v>2.7</v>
      </c>
      <c r="F137" s="33">
        <v>1</v>
      </c>
      <c r="G137" s="575"/>
      <c r="H137" s="575"/>
      <c r="I137" s="575"/>
      <c r="J137" s="575"/>
      <c r="K137" s="575"/>
      <c r="L137" s="578">
        <f>C137</f>
        <v>56.348999999999997</v>
      </c>
      <c r="M137" s="575"/>
      <c r="N137" s="575"/>
      <c r="O137" s="575"/>
      <c r="P137" s="575"/>
      <c r="Q137" s="575"/>
    </row>
    <row r="138" spans="1:18" ht="15" customHeight="1" x14ac:dyDescent="0.25">
      <c r="A138" s="563"/>
      <c r="B138" s="157"/>
      <c r="C138" s="34">
        <f t="shared" si="110"/>
        <v>71.388000000000005</v>
      </c>
      <c r="D138" s="576">
        <v>26.44</v>
      </c>
      <c r="E138" s="578">
        <v>2.7</v>
      </c>
      <c r="F138" s="33">
        <v>1</v>
      </c>
      <c r="G138" s="577"/>
      <c r="H138" s="65">
        <f>C138</f>
        <v>71.388000000000005</v>
      </c>
      <c r="I138" s="42">
        <f>H138-J138</f>
        <v>71.388000000000005</v>
      </c>
      <c r="J138" s="575"/>
      <c r="K138" s="575"/>
      <c r="L138" s="578">
        <f>I138</f>
        <v>71.388000000000005</v>
      </c>
      <c r="M138" s="575"/>
      <c r="N138" s="575"/>
      <c r="O138" s="575"/>
      <c r="P138" s="575"/>
      <c r="Q138" s="575"/>
    </row>
    <row r="139" spans="1:18" ht="15" customHeight="1" x14ac:dyDescent="0.25">
      <c r="A139" s="150">
        <v>19.14</v>
      </c>
      <c r="B139" s="15" t="s">
        <v>205</v>
      </c>
      <c r="C139" s="34">
        <f t="shared" ref="C139:C237" si="111">D139*E139*F139-G139</f>
        <v>2.7419999999999973</v>
      </c>
      <c r="D139" s="131">
        <f>9.53-5.07</f>
        <v>4.4599999999999991</v>
      </c>
      <c r="E139" s="17">
        <v>2.7</v>
      </c>
      <c r="F139" s="33">
        <v>1</v>
      </c>
      <c r="G139" s="45">
        <v>9.3000000000000007</v>
      </c>
      <c r="H139" s="65"/>
      <c r="I139" s="42"/>
      <c r="J139" s="43"/>
      <c r="K139" s="43"/>
      <c r="L139" s="43">
        <f>C139</f>
        <v>2.7419999999999973</v>
      </c>
      <c r="M139" s="43"/>
      <c r="N139" s="43"/>
      <c r="O139" s="43"/>
      <c r="P139" s="43"/>
      <c r="Q139" s="43"/>
    </row>
    <row r="140" spans="1:18" ht="15" customHeight="1" x14ac:dyDescent="0.25">
      <c r="A140" s="150"/>
      <c r="B140" s="15"/>
      <c r="C140" s="34">
        <f t="shared" si="111"/>
        <v>13.689000000000002</v>
      </c>
      <c r="D140" s="131">
        <v>5.07</v>
      </c>
      <c r="E140" s="17">
        <v>2.7</v>
      </c>
      <c r="F140" s="33">
        <v>1</v>
      </c>
      <c r="G140" s="45"/>
      <c r="H140" s="65">
        <f>C140</f>
        <v>13.689000000000002</v>
      </c>
      <c r="I140" s="42">
        <f>H140-J140</f>
        <v>13.689000000000002</v>
      </c>
      <c r="J140" s="43"/>
      <c r="K140" s="43"/>
      <c r="L140" s="43">
        <f>C140</f>
        <v>13.689000000000002</v>
      </c>
      <c r="M140" s="43"/>
      <c r="N140" s="43"/>
      <c r="O140" s="43"/>
      <c r="P140" s="43"/>
      <c r="Q140" s="43"/>
    </row>
    <row r="141" spans="1:18" ht="15" customHeight="1" x14ac:dyDescent="0.25">
      <c r="A141" s="150">
        <v>0.46</v>
      </c>
      <c r="B141" s="15" t="s">
        <v>229</v>
      </c>
      <c r="C141" s="34">
        <f t="shared" si="111"/>
        <v>3.430000000000001</v>
      </c>
      <c r="D141" s="131">
        <f>3.85-2.03</f>
        <v>1.8200000000000003</v>
      </c>
      <c r="E141" s="17">
        <v>4</v>
      </c>
      <c r="F141" s="33">
        <v>1</v>
      </c>
      <c r="G141" s="45">
        <v>3.85</v>
      </c>
      <c r="H141" s="65"/>
      <c r="I141" s="42"/>
      <c r="J141" s="43"/>
      <c r="K141" s="43"/>
      <c r="L141" s="43">
        <f>C141</f>
        <v>3.430000000000001</v>
      </c>
      <c r="M141" s="43"/>
      <c r="N141" s="43"/>
      <c r="O141" s="43"/>
      <c r="P141" s="43"/>
      <c r="Q141" s="43"/>
    </row>
    <row r="142" spans="1:18" ht="15" customHeight="1" x14ac:dyDescent="0.25">
      <c r="A142" s="150"/>
      <c r="B142" s="15"/>
      <c r="C142" s="34">
        <f t="shared" si="111"/>
        <v>8.1199999999999992</v>
      </c>
      <c r="D142" s="131">
        <v>2.0299999999999998</v>
      </c>
      <c r="E142" s="17">
        <v>4</v>
      </c>
      <c r="F142" s="33">
        <v>1</v>
      </c>
      <c r="G142" s="45"/>
      <c r="H142" s="65">
        <f>C142</f>
        <v>8.1199999999999992</v>
      </c>
      <c r="I142" s="42">
        <f>H142-J142</f>
        <v>8.1199999999999992</v>
      </c>
      <c r="J142" s="43"/>
      <c r="K142" s="43"/>
      <c r="L142" s="43">
        <f>I142</f>
        <v>8.1199999999999992</v>
      </c>
      <c r="M142" s="43"/>
      <c r="N142" s="43"/>
      <c r="O142" s="43"/>
      <c r="P142" s="43"/>
      <c r="Q142" s="43"/>
    </row>
    <row r="143" spans="1:18" ht="15" customHeight="1" x14ac:dyDescent="0.25">
      <c r="A143" s="219">
        <v>15.95</v>
      </c>
      <c r="B143" s="220" t="s">
        <v>168</v>
      </c>
      <c r="C143" s="34">
        <f t="shared" si="111"/>
        <v>17.897999999999996</v>
      </c>
      <c r="D143" s="131">
        <f>17.47-(3.92+5.91)</f>
        <v>7.6399999999999988</v>
      </c>
      <c r="E143" s="17">
        <v>2.7</v>
      </c>
      <c r="F143" s="33">
        <v>1</v>
      </c>
      <c r="G143" s="45">
        <v>2.73</v>
      </c>
      <c r="H143" s="65"/>
      <c r="I143" s="42"/>
      <c r="J143" s="43"/>
      <c r="K143" s="43"/>
      <c r="L143" s="43">
        <f>C143</f>
        <v>17.897999999999996</v>
      </c>
      <c r="M143" s="43"/>
      <c r="N143" s="43"/>
      <c r="O143" s="43"/>
      <c r="P143" s="43"/>
      <c r="Q143" s="43"/>
    </row>
    <row r="144" spans="1:18" ht="15" customHeight="1" x14ac:dyDescent="0.25">
      <c r="A144" s="150"/>
      <c r="B144" s="157"/>
      <c r="C144" s="34">
        <f t="shared" si="111"/>
        <v>15.957000000000001</v>
      </c>
      <c r="D144" s="131">
        <v>5.91</v>
      </c>
      <c r="E144" s="17">
        <v>2.7</v>
      </c>
      <c r="F144" s="33">
        <v>1</v>
      </c>
      <c r="G144" s="45"/>
      <c r="H144" s="65">
        <f t="shared" ref="H144" si="112">C144</f>
        <v>15.957000000000001</v>
      </c>
      <c r="I144" s="42">
        <f t="shared" ref="I144" si="113">H144-J144</f>
        <v>15.957000000000001</v>
      </c>
      <c r="J144" s="43"/>
      <c r="K144" s="43"/>
      <c r="L144" s="43">
        <f t="shared" ref="L144" si="114">I144</f>
        <v>15.957000000000001</v>
      </c>
      <c r="M144" s="43"/>
      <c r="N144" s="43"/>
      <c r="O144" s="43"/>
      <c r="P144" s="43"/>
      <c r="Q144" s="43"/>
    </row>
    <row r="145" spans="1:17" ht="15" customHeight="1" x14ac:dyDescent="0.25">
      <c r="A145" s="150">
        <v>3.03</v>
      </c>
      <c r="B145" s="157" t="s">
        <v>229</v>
      </c>
      <c r="C145" s="34">
        <f t="shared" si="111"/>
        <v>13.080000000000002</v>
      </c>
      <c r="D145" s="131">
        <f>8.51-3.03</f>
        <v>5.48</v>
      </c>
      <c r="E145" s="17">
        <v>4</v>
      </c>
      <c r="F145" s="33">
        <v>1</v>
      </c>
      <c r="G145" s="45">
        <v>8.84</v>
      </c>
      <c r="H145" s="65"/>
      <c r="I145" s="42"/>
      <c r="J145" s="43"/>
      <c r="K145" s="43"/>
      <c r="L145" s="43">
        <f>C145</f>
        <v>13.080000000000002</v>
      </c>
      <c r="M145" s="43"/>
      <c r="N145" s="43"/>
      <c r="O145" s="43"/>
      <c r="P145" s="43"/>
      <c r="Q145" s="43"/>
    </row>
    <row r="146" spans="1:17" ht="15" customHeight="1" x14ac:dyDescent="0.25">
      <c r="A146" s="150"/>
      <c r="B146" s="157"/>
      <c r="C146" s="34">
        <f t="shared" si="111"/>
        <v>12.12</v>
      </c>
      <c r="D146" s="131">
        <v>3.03</v>
      </c>
      <c r="E146" s="17">
        <v>4</v>
      </c>
      <c r="F146" s="33">
        <v>1</v>
      </c>
      <c r="G146" s="45"/>
      <c r="H146" s="65">
        <f t="shared" ref="H146" si="115">C146</f>
        <v>12.12</v>
      </c>
      <c r="I146" s="42">
        <f t="shared" ref="I146" si="116">H146-J146</f>
        <v>12.12</v>
      </c>
      <c r="J146" s="43"/>
      <c r="K146" s="43"/>
      <c r="L146" s="43">
        <f>I146</f>
        <v>12.12</v>
      </c>
      <c r="M146" s="43"/>
      <c r="N146" s="43"/>
      <c r="O146" s="43"/>
      <c r="P146" s="43"/>
      <c r="Q146" s="43"/>
    </row>
    <row r="147" spans="1:17" ht="15" customHeight="1" x14ac:dyDescent="0.25">
      <c r="A147" s="219">
        <v>11.45</v>
      </c>
      <c r="B147" s="220" t="s">
        <v>168</v>
      </c>
      <c r="C147" s="34">
        <f t="shared" si="111"/>
        <v>16.810000000000002</v>
      </c>
      <c r="D147" s="131">
        <f>14.32-4.82</f>
        <v>9.5</v>
      </c>
      <c r="E147" s="17">
        <v>2.7</v>
      </c>
      <c r="F147" s="33">
        <v>1</v>
      </c>
      <c r="G147" s="45">
        <v>8.84</v>
      </c>
      <c r="H147" s="65"/>
      <c r="I147" s="42"/>
      <c r="J147" s="43"/>
      <c r="K147" s="43"/>
      <c r="L147" s="43">
        <f>C147</f>
        <v>16.810000000000002</v>
      </c>
      <c r="M147" s="43"/>
      <c r="N147" s="43"/>
      <c r="O147" s="43"/>
      <c r="P147" s="43"/>
      <c r="Q147" s="43"/>
    </row>
    <row r="148" spans="1:17" ht="15" customHeight="1" x14ac:dyDescent="0.25">
      <c r="A148" s="150">
        <v>1.1000000000000001</v>
      </c>
      <c r="B148" s="157" t="s">
        <v>229</v>
      </c>
      <c r="C148" s="34">
        <f t="shared" si="111"/>
        <v>7.3200000000000038</v>
      </c>
      <c r="D148" s="131">
        <f>7.44-3.4</f>
        <v>4.0400000000000009</v>
      </c>
      <c r="E148" s="17">
        <v>4</v>
      </c>
      <c r="F148" s="33">
        <v>1</v>
      </c>
      <c r="G148" s="45">
        <v>8.84</v>
      </c>
      <c r="H148" s="65"/>
      <c r="I148" s="42"/>
      <c r="J148" s="43"/>
      <c r="K148" s="43"/>
      <c r="L148" s="43">
        <f>C148</f>
        <v>7.3200000000000038</v>
      </c>
      <c r="M148" s="43"/>
      <c r="N148" s="43"/>
      <c r="O148" s="43"/>
      <c r="P148" s="43"/>
      <c r="Q148" s="43"/>
    </row>
    <row r="149" spans="1:17" ht="15" customHeight="1" x14ac:dyDescent="0.25">
      <c r="A149" s="150"/>
      <c r="B149" s="157"/>
      <c r="C149" s="34">
        <f t="shared" si="111"/>
        <v>13.6</v>
      </c>
      <c r="D149" s="131">
        <v>3.4</v>
      </c>
      <c r="E149" s="17">
        <v>4</v>
      </c>
      <c r="F149" s="33">
        <v>1</v>
      </c>
      <c r="G149" s="45"/>
      <c r="H149" s="65">
        <f t="shared" ref="H149" si="117">C149</f>
        <v>13.6</v>
      </c>
      <c r="I149" s="42">
        <f t="shared" ref="I149" si="118">H149-J149</f>
        <v>13.6</v>
      </c>
      <c r="J149" s="43"/>
      <c r="K149" s="43"/>
      <c r="L149" s="43">
        <f t="shared" ref="L149" si="119">I149</f>
        <v>13.6</v>
      </c>
      <c r="M149" s="43"/>
      <c r="N149" s="43"/>
      <c r="O149" s="43"/>
      <c r="P149" s="43"/>
      <c r="Q149" s="43"/>
    </row>
    <row r="150" spans="1:17" ht="15" customHeight="1" x14ac:dyDescent="0.25">
      <c r="A150" s="219">
        <v>65.36</v>
      </c>
      <c r="B150" s="220" t="s">
        <v>168</v>
      </c>
      <c r="C150" s="34">
        <f t="shared" si="111"/>
        <v>144.65400000000002</v>
      </c>
      <c r="D150" s="131">
        <f>69.31-(10.27+4.22)</f>
        <v>54.820000000000007</v>
      </c>
      <c r="E150" s="17">
        <v>2.7</v>
      </c>
      <c r="F150" s="33">
        <v>1</v>
      </c>
      <c r="G150" s="45">
        <v>3.36</v>
      </c>
      <c r="H150" s="65"/>
      <c r="I150" s="42"/>
      <c r="J150" s="43"/>
      <c r="K150" s="43"/>
      <c r="L150" s="43">
        <f>C150</f>
        <v>144.65400000000002</v>
      </c>
      <c r="M150" s="43"/>
      <c r="N150" s="43"/>
      <c r="O150" s="43"/>
      <c r="P150" s="43"/>
      <c r="Q150" s="43"/>
    </row>
    <row r="151" spans="1:17" ht="15" customHeight="1" x14ac:dyDescent="0.25">
      <c r="A151" s="150"/>
      <c r="B151" s="157"/>
      <c r="C151" s="34">
        <f t="shared" si="111"/>
        <v>11.394</v>
      </c>
      <c r="D151" s="131">
        <v>4.22</v>
      </c>
      <c r="E151" s="17">
        <v>2.7</v>
      </c>
      <c r="F151" s="33">
        <v>1</v>
      </c>
      <c r="G151" s="45"/>
      <c r="H151" s="65">
        <f t="shared" ref="H151" si="120">C151</f>
        <v>11.394</v>
      </c>
      <c r="I151" s="42">
        <f t="shared" ref="I151" si="121">H151-J151</f>
        <v>11.394</v>
      </c>
      <c r="J151" s="43"/>
      <c r="K151" s="43"/>
      <c r="L151" s="43">
        <f t="shared" ref="L151" si="122">I151</f>
        <v>11.394</v>
      </c>
      <c r="M151" s="43"/>
      <c r="N151" s="43"/>
      <c r="O151" s="43"/>
      <c r="P151" s="43"/>
      <c r="Q151" s="43"/>
    </row>
    <row r="152" spans="1:17" ht="15" customHeight="1" x14ac:dyDescent="0.25">
      <c r="A152" s="150">
        <v>13.71</v>
      </c>
      <c r="B152" s="15" t="s">
        <v>206</v>
      </c>
      <c r="C152" s="34">
        <f t="shared" si="111"/>
        <v>44.33400000000001</v>
      </c>
      <c r="D152" s="131">
        <f>16.42</f>
        <v>16.420000000000002</v>
      </c>
      <c r="E152" s="17">
        <v>2.7</v>
      </c>
      <c r="F152" s="33">
        <v>1</v>
      </c>
      <c r="G152" s="45"/>
      <c r="H152" s="65"/>
      <c r="I152" s="42"/>
      <c r="J152" s="43"/>
      <c r="K152" s="43"/>
      <c r="L152" s="43">
        <f t="shared" ref="L152:L157" si="123">C152</f>
        <v>44.33400000000001</v>
      </c>
      <c r="M152" s="43"/>
      <c r="N152" s="43"/>
      <c r="O152" s="43"/>
      <c r="P152" s="43"/>
      <c r="Q152" s="43"/>
    </row>
    <row r="153" spans="1:17" ht="15" customHeight="1" x14ac:dyDescent="0.25">
      <c r="A153" s="150">
        <v>17.18</v>
      </c>
      <c r="B153" s="15" t="s">
        <v>207</v>
      </c>
      <c r="C153" s="34">
        <f t="shared" si="111"/>
        <v>47.222999999999999</v>
      </c>
      <c r="D153" s="131">
        <v>17.489999999999998</v>
      </c>
      <c r="E153" s="17">
        <v>2.7</v>
      </c>
      <c r="F153" s="33">
        <v>1</v>
      </c>
      <c r="G153" s="45"/>
      <c r="H153" s="65"/>
      <c r="I153" s="42"/>
      <c r="J153" s="43"/>
      <c r="K153" s="43"/>
      <c r="L153" s="43">
        <f t="shared" si="123"/>
        <v>47.222999999999999</v>
      </c>
      <c r="M153" s="43"/>
      <c r="N153" s="43"/>
      <c r="O153" s="43"/>
      <c r="P153" s="43"/>
      <c r="Q153" s="43"/>
    </row>
    <row r="154" spans="1:17" ht="15" customHeight="1" x14ac:dyDescent="0.25">
      <c r="A154" s="150">
        <v>23.28</v>
      </c>
      <c r="B154" s="15" t="s">
        <v>181</v>
      </c>
      <c r="C154" s="34">
        <f t="shared" si="111"/>
        <v>53.055</v>
      </c>
      <c r="D154" s="131">
        <v>19.649999999999999</v>
      </c>
      <c r="E154" s="17">
        <v>2.7</v>
      </c>
      <c r="F154" s="33">
        <v>1</v>
      </c>
      <c r="G154" s="45"/>
      <c r="H154" s="65"/>
      <c r="I154" s="42"/>
      <c r="J154" s="43"/>
      <c r="K154" s="43"/>
      <c r="L154" s="43">
        <f t="shared" si="123"/>
        <v>53.055</v>
      </c>
      <c r="M154" s="43"/>
      <c r="N154" s="43"/>
      <c r="O154" s="43"/>
      <c r="P154" s="43"/>
      <c r="Q154" s="43"/>
    </row>
    <row r="155" spans="1:17" ht="15" customHeight="1" x14ac:dyDescent="0.25">
      <c r="A155" s="219">
        <v>14.43</v>
      </c>
      <c r="B155" s="220" t="s">
        <v>208</v>
      </c>
      <c r="C155" s="34">
        <f t="shared" si="111"/>
        <v>30.969000000000005</v>
      </c>
      <c r="D155" s="131">
        <f>16.8-5.33</f>
        <v>11.47</v>
      </c>
      <c r="E155" s="17">
        <v>2.7</v>
      </c>
      <c r="F155" s="33">
        <v>1</v>
      </c>
      <c r="G155" s="45"/>
      <c r="H155" s="65"/>
      <c r="I155" s="42"/>
      <c r="J155" s="43"/>
      <c r="K155" s="43"/>
      <c r="L155" s="43">
        <f t="shared" si="123"/>
        <v>30.969000000000005</v>
      </c>
      <c r="M155" s="43"/>
      <c r="N155" s="43"/>
      <c r="O155" s="43"/>
      <c r="P155" s="43"/>
      <c r="Q155" s="43"/>
    </row>
    <row r="156" spans="1:17" ht="15" customHeight="1" x14ac:dyDescent="0.25">
      <c r="A156" s="219">
        <v>18.29</v>
      </c>
      <c r="B156" s="220" t="s">
        <v>209</v>
      </c>
      <c r="C156" s="34">
        <f t="shared" si="111"/>
        <v>47.142000000000003</v>
      </c>
      <c r="D156" s="131">
        <f>17.46</f>
        <v>17.46</v>
      </c>
      <c r="E156" s="17">
        <v>2.7</v>
      </c>
      <c r="F156" s="33">
        <v>1</v>
      </c>
      <c r="G156" s="45"/>
      <c r="H156" s="65"/>
      <c r="I156" s="42"/>
      <c r="J156" s="43"/>
      <c r="K156" s="43"/>
      <c r="L156" s="43">
        <f t="shared" si="123"/>
        <v>47.142000000000003</v>
      </c>
      <c r="M156" s="43"/>
      <c r="N156" s="43"/>
      <c r="O156" s="43"/>
      <c r="P156" s="43"/>
      <c r="Q156" s="43"/>
    </row>
    <row r="157" spans="1:17" ht="15" customHeight="1" x14ac:dyDescent="0.25">
      <c r="A157" s="219">
        <v>14.02</v>
      </c>
      <c r="B157" s="220" t="s">
        <v>168</v>
      </c>
      <c r="C157" s="34">
        <f t="shared" si="111"/>
        <v>5.4539999999999988</v>
      </c>
      <c r="D157" s="131">
        <f>18.74-(9.22+7.5)</f>
        <v>2.0199999999999996</v>
      </c>
      <c r="E157" s="17">
        <v>2.7</v>
      </c>
      <c r="F157" s="33">
        <v>1</v>
      </c>
      <c r="G157" s="45"/>
      <c r="H157" s="65"/>
      <c r="I157" s="42"/>
      <c r="J157" s="43"/>
      <c r="K157" s="43"/>
      <c r="L157" s="43">
        <f t="shared" si="123"/>
        <v>5.4539999999999988</v>
      </c>
      <c r="M157" s="43"/>
      <c r="N157" s="43"/>
      <c r="O157" s="43"/>
      <c r="P157" s="43"/>
      <c r="Q157" s="43"/>
    </row>
    <row r="158" spans="1:17" ht="15" customHeight="1" x14ac:dyDescent="0.25">
      <c r="A158" s="150"/>
      <c r="B158" s="157"/>
      <c r="C158" s="34">
        <f t="shared" si="111"/>
        <v>20.25</v>
      </c>
      <c r="D158" s="131">
        <v>7.5</v>
      </c>
      <c r="E158" s="17">
        <v>2.7</v>
      </c>
      <c r="F158" s="33">
        <v>1</v>
      </c>
      <c r="G158" s="45"/>
      <c r="H158" s="65">
        <f t="shared" ref="H158" si="124">C158</f>
        <v>20.25</v>
      </c>
      <c r="I158" s="42">
        <f t="shared" ref="I158" si="125">H158-J158</f>
        <v>20.25</v>
      </c>
      <c r="J158" s="43"/>
      <c r="K158" s="43"/>
      <c r="L158" s="43">
        <f t="shared" ref="L158" si="126">I158</f>
        <v>20.25</v>
      </c>
      <c r="M158" s="43"/>
      <c r="N158" s="43"/>
      <c r="O158" s="43"/>
      <c r="P158" s="43"/>
      <c r="Q158" s="43"/>
    </row>
    <row r="159" spans="1:17" ht="15" customHeight="1" x14ac:dyDescent="0.25">
      <c r="A159" s="219">
        <v>8.48</v>
      </c>
      <c r="B159" s="220" t="s">
        <v>210</v>
      </c>
      <c r="C159" s="34">
        <f t="shared" si="111"/>
        <v>23.760000000000005</v>
      </c>
      <c r="D159" s="131">
        <f>13.85-5.05</f>
        <v>8.8000000000000007</v>
      </c>
      <c r="E159" s="17">
        <v>2.7</v>
      </c>
      <c r="F159" s="33">
        <v>1</v>
      </c>
      <c r="G159" s="45"/>
      <c r="H159" s="65"/>
      <c r="I159" s="42"/>
      <c r="J159" s="43"/>
      <c r="K159" s="43"/>
      <c r="L159" s="43">
        <f>C159</f>
        <v>23.760000000000005</v>
      </c>
      <c r="M159" s="43"/>
      <c r="N159" s="43"/>
      <c r="O159" s="43"/>
      <c r="P159" s="43"/>
      <c r="Q159" s="43"/>
    </row>
    <row r="160" spans="1:17" ht="15" customHeight="1" x14ac:dyDescent="0.25">
      <c r="A160" s="219">
        <v>4.0199999999999996</v>
      </c>
      <c r="B160" s="220" t="s">
        <v>168</v>
      </c>
      <c r="C160" s="34">
        <f t="shared" si="111"/>
        <v>19.250999999999998</v>
      </c>
      <c r="D160" s="131">
        <f>9.85-2.72</f>
        <v>7.129999999999999</v>
      </c>
      <c r="E160" s="17">
        <v>2.7</v>
      </c>
      <c r="F160" s="33">
        <v>1</v>
      </c>
      <c r="G160" s="45"/>
      <c r="H160" s="65"/>
      <c r="I160" s="42"/>
      <c r="J160" s="43"/>
      <c r="K160" s="43"/>
      <c r="L160" s="43">
        <f>C160</f>
        <v>19.250999999999998</v>
      </c>
      <c r="M160" s="43"/>
      <c r="N160" s="43"/>
      <c r="O160" s="43"/>
      <c r="P160" s="43"/>
      <c r="Q160" s="43"/>
    </row>
    <row r="161" spans="1:17" ht="15" customHeight="1" x14ac:dyDescent="0.25">
      <c r="A161" s="219">
        <v>4.03</v>
      </c>
      <c r="B161" s="220" t="s">
        <v>211</v>
      </c>
      <c r="C161" s="34">
        <f t="shared" si="111"/>
        <v>15.903000000000002</v>
      </c>
      <c r="D161" s="131">
        <f>8.05-2.16</f>
        <v>5.8900000000000006</v>
      </c>
      <c r="E161" s="17">
        <v>2.7</v>
      </c>
      <c r="F161" s="33">
        <v>1</v>
      </c>
      <c r="G161" s="45"/>
      <c r="H161" s="65"/>
      <c r="I161" s="42"/>
      <c r="J161" s="43"/>
      <c r="K161" s="43"/>
      <c r="L161" s="43">
        <f>C161</f>
        <v>15.903000000000002</v>
      </c>
      <c r="M161" s="43"/>
      <c r="N161" s="43"/>
      <c r="O161" s="43"/>
      <c r="P161" s="43"/>
      <c r="Q161" s="43"/>
    </row>
    <row r="162" spans="1:17" ht="15" customHeight="1" x14ac:dyDescent="0.25">
      <c r="A162" s="150"/>
      <c r="B162" s="157"/>
      <c r="C162" s="34">
        <f t="shared" si="111"/>
        <v>5.8320000000000007</v>
      </c>
      <c r="D162" s="131">
        <v>2.16</v>
      </c>
      <c r="E162" s="17">
        <v>2.7</v>
      </c>
      <c r="F162" s="33">
        <v>1</v>
      </c>
      <c r="G162" s="45"/>
      <c r="H162" s="65">
        <f t="shared" ref="H162" si="127">C162</f>
        <v>5.8320000000000007</v>
      </c>
      <c r="I162" s="42">
        <f t="shared" ref="I162" si="128">H162-J162</f>
        <v>5.8320000000000007</v>
      </c>
      <c r="J162" s="43"/>
      <c r="K162" s="43"/>
      <c r="L162" s="43">
        <f t="shared" ref="L162" si="129">I162</f>
        <v>5.8320000000000007</v>
      </c>
      <c r="M162" s="43"/>
      <c r="N162" s="43"/>
      <c r="O162" s="43"/>
      <c r="P162" s="43"/>
      <c r="Q162" s="43"/>
    </row>
    <row r="163" spans="1:17" ht="15" customHeight="1" x14ac:dyDescent="0.25">
      <c r="A163" s="150">
        <v>2.61</v>
      </c>
      <c r="B163" s="15" t="s">
        <v>158</v>
      </c>
      <c r="C163" s="34">
        <f t="shared" si="111"/>
        <v>17.9131</v>
      </c>
      <c r="D163" s="131">
        <v>6.61</v>
      </c>
      <c r="E163" s="17">
        <v>2.71</v>
      </c>
      <c r="F163" s="33">
        <v>1</v>
      </c>
      <c r="G163" s="45"/>
      <c r="H163" s="65"/>
      <c r="I163" s="42"/>
      <c r="J163" s="43"/>
      <c r="K163" s="43"/>
      <c r="L163" s="43"/>
      <c r="M163" s="43"/>
      <c r="N163" s="43"/>
      <c r="O163" s="43"/>
      <c r="P163" s="43"/>
      <c r="Q163" s="43">
        <f>C163</f>
        <v>17.9131</v>
      </c>
    </row>
    <row r="164" spans="1:17" ht="15" customHeight="1" x14ac:dyDescent="0.25">
      <c r="A164" s="150">
        <v>3.36</v>
      </c>
      <c r="B164" s="15" t="s">
        <v>212</v>
      </c>
      <c r="C164" s="34">
        <f t="shared" si="111"/>
        <v>19.872000000000003</v>
      </c>
      <c r="D164" s="131">
        <v>7.36</v>
      </c>
      <c r="E164" s="17">
        <v>2.7</v>
      </c>
      <c r="F164" s="33">
        <v>1</v>
      </c>
      <c r="G164" s="45"/>
      <c r="H164" s="65"/>
      <c r="I164" s="42"/>
      <c r="J164" s="43"/>
      <c r="K164" s="43"/>
      <c r="L164" s="43">
        <f>C164</f>
        <v>19.872000000000003</v>
      </c>
      <c r="M164" s="43"/>
      <c r="N164" s="43"/>
      <c r="O164" s="43"/>
      <c r="P164" s="43"/>
      <c r="Q164" s="43"/>
    </row>
    <row r="165" spans="1:17" ht="15" customHeight="1" x14ac:dyDescent="0.25">
      <c r="A165" s="150">
        <v>3.08</v>
      </c>
      <c r="B165" s="15" t="s">
        <v>213</v>
      </c>
      <c r="C165" s="34">
        <f t="shared" si="111"/>
        <v>19.512</v>
      </c>
      <c r="D165" s="131">
        <v>7.2</v>
      </c>
      <c r="E165" s="17">
        <v>2.71</v>
      </c>
      <c r="F165" s="33">
        <v>1</v>
      </c>
      <c r="G165" s="45"/>
      <c r="H165" s="65"/>
      <c r="I165" s="42"/>
      <c r="J165" s="43"/>
      <c r="K165" s="43"/>
      <c r="L165" s="43"/>
      <c r="M165" s="43"/>
      <c r="N165" s="43"/>
      <c r="O165" s="43"/>
      <c r="P165" s="43">
        <f>C165</f>
        <v>19.512</v>
      </c>
      <c r="Q165" s="43"/>
    </row>
    <row r="166" spans="1:17" ht="15" customHeight="1" x14ac:dyDescent="0.25">
      <c r="A166" s="150">
        <v>6.72</v>
      </c>
      <c r="B166" s="15" t="s">
        <v>214</v>
      </c>
      <c r="C166" s="34">
        <f t="shared" si="111"/>
        <v>28.377000000000002</v>
      </c>
      <c r="D166" s="131">
        <v>10.51</v>
      </c>
      <c r="E166" s="17">
        <v>2.7</v>
      </c>
      <c r="F166" s="33">
        <v>1</v>
      </c>
      <c r="G166" s="45"/>
      <c r="H166" s="65"/>
      <c r="I166" s="42"/>
      <c r="J166" s="43"/>
      <c r="K166" s="43"/>
      <c r="L166" s="43">
        <f>C166</f>
        <v>28.377000000000002</v>
      </c>
      <c r="M166" s="43"/>
      <c r="N166" s="43"/>
      <c r="O166" s="43"/>
      <c r="P166" s="43"/>
      <c r="Q166" s="43"/>
    </row>
    <row r="167" spans="1:17" ht="15" customHeight="1" x14ac:dyDescent="0.25">
      <c r="A167" s="150">
        <v>3.3</v>
      </c>
      <c r="B167" s="15" t="s">
        <v>158</v>
      </c>
      <c r="C167" s="34">
        <f t="shared" si="111"/>
        <v>15.961899999999998</v>
      </c>
      <c r="D167" s="131">
        <f>7.39-1.5</f>
        <v>5.89</v>
      </c>
      <c r="E167" s="17">
        <v>2.71</v>
      </c>
      <c r="F167" s="33">
        <v>1</v>
      </c>
      <c r="G167" s="45"/>
      <c r="H167" s="65"/>
      <c r="I167" s="42"/>
      <c r="J167" s="43"/>
      <c r="K167" s="43"/>
      <c r="L167" s="43"/>
      <c r="M167" s="43"/>
      <c r="N167" s="43"/>
      <c r="O167" s="43"/>
      <c r="P167" s="43"/>
      <c r="Q167" s="43">
        <f>C167</f>
        <v>15.961899999999998</v>
      </c>
    </row>
    <row r="168" spans="1:17" ht="15" customHeight="1" x14ac:dyDescent="0.25">
      <c r="A168" s="150"/>
      <c r="B168" s="15"/>
      <c r="C168" s="34">
        <f t="shared" si="111"/>
        <v>4.0649999999999995</v>
      </c>
      <c r="D168" s="131">
        <v>1.5</v>
      </c>
      <c r="E168" s="17">
        <v>2.71</v>
      </c>
      <c r="F168" s="33">
        <v>1</v>
      </c>
      <c r="G168" s="45"/>
      <c r="H168" s="65">
        <f t="shared" ref="H168" si="130">C168</f>
        <v>4.0649999999999995</v>
      </c>
      <c r="I168" s="42"/>
      <c r="J168" s="43">
        <f>H168-I168</f>
        <v>4.0649999999999995</v>
      </c>
      <c r="K168" s="43"/>
      <c r="L168" s="43"/>
      <c r="M168" s="43"/>
      <c r="N168" s="43"/>
      <c r="O168" s="43"/>
      <c r="P168" s="43"/>
      <c r="Q168" s="43">
        <f>J168</f>
        <v>4.0649999999999995</v>
      </c>
    </row>
    <row r="169" spans="1:17" ht="15" customHeight="1" x14ac:dyDescent="0.25">
      <c r="A169" s="150">
        <v>28.44</v>
      </c>
      <c r="B169" s="15" t="s">
        <v>181</v>
      </c>
      <c r="C169" s="34">
        <f t="shared" si="111"/>
        <v>31.428000000000004</v>
      </c>
      <c r="D169" s="131">
        <f>23.14-11.5</f>
        <v>11.64</v>
      </c>
      <c r="E169" s="17">
        <v>2.7</v>
      </c>
      <c r="F169" s="33">
        <v>1</v>
      </c>
      <c r="G169" s="45"/>
      <c r="H169" s="65"/>
      <c r="I169" s="42"/>
      <c r="J169" s="43"/>
      <c r="K169" s="43"/>
      <c r="L169" s="43">
        <f>C169</f>
        <v>31.428000000000004</v>
      </c>
      <c r="M169" s="43"/>
      <c r="N169" s="43"/>
      <c r="O169" s="43"/>
      <c r="P169" s="43"/>
      <c r="Q169" s="43"/>
    </row>
    <row r="170" spans="1:17" ht="15" customHeight="1" x14ac:dyDescent="0.25">
      <c r="A170" s="150"/>
      <c r="B170" s="15"/>
      <c r="C170" s="34">
        <f t="shared" si="111"/>
        <v>31.05</v>
      </c>
      <c r="D170" s="131">
        <v>11.5</v>
      </c>
      <c r="E170" s="17">
        <v>2.7</v>
      </c>
      <c r="F170" s="33">
        <v>1</v>
      </c>
      <c r="G170" s="45"/>
      <c r="H170" s="65">
        <f t="shared" ref="H170" si="131">C170</f>
        <v>31.05</v>
      </c>
      <c r="I170" s="42">
        <f t="shared" ref="I170" si="132">H170-J170</f>
        <v>31.05</v>
      </c>
      <c r="J170" s="43"/>
      <c r="K170" s="43"/>
      <c r="L170" s="43">
        <f t="shared" ref="L170" si="133">I170</f>
        <v>31.05</v>
      </c>
      <c r="M170" s="43"/>
      <c r="N170" s="43"/>
      <c r="O170" s="43"/>
      <c r="P170" s="43"/>
      <c r="Q170" s="43"/>
    </row>
    <row r="171" spans="1:17" ht="15" customHeight="1" x14ac:dyDescent="0.25">
      <c r="A171" s="150">
        <v>7.81</v>
      </c>
      <c r="B171" s="15" t="s">
        <v>215</v>
      </c>
      <c r="C171" s="34">
        <f t="shared" si="111"/>
        <v>21.924000000000003</v>
      </c>
      <c r="D171" s="131">
        <f>11.25-3.13</f>
        <v>8.120000000000001</v>
      </c>
      <c r="E171" s="17">
        <v>2.7</v>
      </c>
      <c r="F171" s="33">
        <v>1</v>
      </c>
      <c r="G171" s="45"/>
      <c r="H171" s="65"/>
      <c r="I171" s="42"/>
      <c r="J171" s="43"/>
      <c r="K171" s="43"/>
      <c r="L171" s="43">
        <f>C171</f>
        <v>21.924000000000003</v>
      </c>
      <c r="M171" s="43"/>
      <c r="N171" s="43"/>
      <c r="O171" s="43"/>
      <c r="P171" s="43"/>
      <c r="Q171" s="43"/>
    </row>
    <row r="172" spans="1:17" ht="15" customHeight="1" x14ac:dyDescent="0.25">
      <c r="A172" s="150"/>
      <c r="B172" s="15"/>
      <c r="C172" s="34">
        <f t="shared" si="111"/>
        <v>8.4510000000000005</v>
      </c>
      <c r="D172" s="131">
        <v>3.13</v>
      </c>
      <c r="E172" s="17">
        <v>2.7</v>
      </c>
      <c r="F172" s="33">
        <v>1</v>
      </c>
      <c r="G172" s="45"/>
      <c r="H172" s="65">
        <f t="shared" ref="H172" si="134">C172</f>
        <v>8.4510000000000005</v>
      </c>
      <c r="I172" s="42">
        <f t="shared" ref="I172" si="135">H172-J172</f>
        <v>8.4510000000000005</v>
      </c>
      <c r="J172" s="43"/>
      <c r="K172" s="43"/>
      <c r="L172" s="43">
        <f t="shared" ref="L172" si="136">I172</f>
        <v>8.4510000000000005</v>
      </c>
      <c r="M172" s="43"/>
      <c r="N172" s="43"/>
      <c r="O172" s="43"/>
      <c r="P172" s="43"/>
      <c r="Q172" s="43"/>
    </row>
    <row r="173" spans="1:17" ht="15" customHeight="1" x14ac:dyDescent="0.25">
      <c r="A173" s="150">
        <v>7.84</v>
      </c>
      <c r="B173" s="15" t="s">
        <v>216</v>
      </c>
      <c r="C173" s="34">
        <f t="shared" si="111"/>
        <v>15.201000000000001</v>
      </c>
      <c r="D173" s="131">
        <f>11.27-5.64</f>
        <v>5.63</v>
      </c>
      <c r="E173" s="17">
        <v>2.7</v>
      </c>
      <c r="F173" s="33">
        <v>1</v>
      </c>
      <c r="G173" s="45"/>
      <c r="H173" s="65"/>
      <c r="I173" s="42"/>
      <c r="J173" s="43"/>
      <c r="K173" s="43"/>
      <c r="L173" s="43">
        <f>C173</f>
        <v>15.201000000000001</v>
      </c>
      <c r="M173" s="43"/>
      <c r="N173" s="43"/>
      <c r="O173" s="43"/>
      <c r="P173" s="43"/>
      <c r="Q173" s="43"/>
    </row>
    <row r="174" spans="1:17" ht="15" customHeight="1" x14ac:dyDescent="0.25">
      <c r="A174" s="150"/>
      <c r="B174" s="15"/>
      <c r="C174" s="34">
        <f t="shared" si="111"/>
        <v>15.228</v>
      </c>
      <c r="D174" s="131">
        <v>5.64</v>
      </c>
      <c r="E174" s="17">
        <v>2.7</v>
      </c>
      <c r="F174" s="33">
        <v>1</v>
      </c>
      <c r="G174" s="45"/>
      <c r="H174" s="65">
        <f t="shared" ref="H174" si="137">C174</f>
        <v>15.228</v>
      </c>
      <c r="I174" s="42">
        <f t="shared" ref="I174" si="138">H174-J174</f>
        <v>15.228</v>
      </c>
      <c r="J174" s="43"/>
      <c r="K174" s="43"/>
      <c r="L174" s="43">
        <f t="shared" ref="L174" si="139">I174</f>
        <v>15.228</v>
      </c>
      <c r="M174" s="43"/>
      <c r="N174" s="43"/>
      <c r="O174" s="43"/>
      <c r="P174" s="43"/>
      <c r="Q174" s="43"/>
    </row>
    <row r="175" spans="1:17" ht="15" customHeight="1" x14ac:dyDescent="0.25">
      <c r="A175" s="150">
        <v>20.56</v>
      </c>
      <c r="B175" s="15" t="s">
        <v>217</v>
      </c>
      <c r="C175" s="34">
        <f t="shared" si="111"/>
        <v>42.876000000000012</v>
      </c>
      <c r="D175" s="131">
        <f>19.17-3.29</f>
        <v>15.880000000000003</v>
      </c>
      <c r="E175" s="17">
        <v>2.7</v>
      </c>
      <c r="F175" s="33">
        <v>1</v>
      </c>
      <c r="G175" s="45"/>
      <c r="H175" s="65"/>
      <c r="I175" s="42"/>
      <c r="J175" s="43"/>
      <c r="K175" s="43"/>
      <c r="L175" s="43">
        <f>C175</f>
        <v>42.876000000000012</v>
      </c>
      <c r="M175" s="43"/>
      <c r="N175" s="43"/>
      <c r="O175" s="43"/>
      <c r="P175" s="43"/>
      <c r="Q175" s="43"/>
    </row>
    <row r="176" spans="1:17" ht="15" customHeight="1" x14ac:dyDescent="0.25">
      <c r="A176" s="150"/>
      <c r="B176" s="15"/>
      <c r="C176" s="34">
        <f t="shared" si="111"/>
        <v>8.8830000000000009</v>
      </c>
      <c r="D176" s="131">
        <v>3.29</v>
      </c>
      <c r="E176" s="17">
        <v>2.7</v>
      </c>
      <c r="F176" s="33">
        <v>1</v>
      </c>
      <c r="G176" s="45"/>
      <c r="H176" s="65">
        <f t="shared" ref="H176" si="140">C176</f>
        <v>8.8830000000000009</v>
      </c>
      <c r="I176" s="42">
        <f t="shared" ref="I176" si="141">H176-J176</f>
        <v>8.8830000000000009</v>
      </c>
      <c r="J176" s="43"/>
      <c r="K176" s="43"/>
      <c r="L176" s="43">
        <f t="shared" ref="L176" si="142">I176</f>
        <v>8.8830000000000009</v>
      </c>
      <c r="M176" s="43"/>
      <c r="N176" s="43"/>
      <c r="O176" s="43"/>
      <c r="P176" s="43"/>
      <c r="Q176" s="43"/>
    </row>
    <row r="177" spans="1:17" ht="15" customHeight="1" x14ac:dyDescent="0.25">
      <c r="A177" s="150">
        <v>20.239999999999998</v>
      </c>
      <c r="B177" s="15" t="s">
        <v>218</v>
      </c>
      <c r="C177" s="34">
        <f t="shared" si="111"/>
        <v>42.713999999999999</v>
      </c>
      <c r="D177" s="131">
        <f>19.06-3.24</f>
        <v>15.819999999999999</v>
      </c>
      <c r="E177" s="17">
        <v>2.7</v>
      </c>
      <c r="F177" s="33">
        <v>1</v>
      </c>
      <c r="G177" s="45"/>
      <c r="H177" s="65"/>
      <c r="I177" s="42"/>
      <c r="J177" s="43"/>
      <c r="K177" s="43"/>
      <c r="L177" s="43">
        <f>C177</f>
        <v>42.713999999999999</v>
      </c>
      <c r="M177" s="43"/>
      <c r="N177" s="43"/>
      <c r="O177" s="43"/>
      <c r="P177" s="43"/>
      <c r="Q177" s="43"/>
    </row>
    <row r="178" spans="1:17" ht="15" customHeight="1" x14ac:dyDescent="0.25">
      <c r="A178" s="150"/>
      <c r="B178" s="15"/>
      <c r="C178" s="34">
        <f t="shared" si="111"/>
        <v>8.7480000000000011</v>
      </c>
      <c r="D178" s="131">
        <v>3.24</v>
      </c>
      <c r="E178" s="17">
        <v>2.7</v>
      </c>
      <c r="F178" s="33">
        <v>1</v>
      </c>
      <c r="G178" s="45"/>
      <c r="H178" s="65">
        <f t="shared" ref="H178" si="143">C178</f>
        <v>8.7480000000000011</v>
      </c>
      <c r="I178" s="42">
        <f t="shared" ref="I178" si="144">H178-J178</f>
        <v>8.7480000000000011</v>
      </c>
      <c r="J178" s="43"/>
      <c r="K178" s="43"/>
      <c r="L178" s="43">
        <f t="shared" ref="L178" si="145">I178</f>
        <v>8.7480000000000011</v>
      </c>
      <c r="M178" s="43"/>
      <c r="N178" s="43"/>
      <c r="O178" s="43"/>
      <c r="P178" s="43"/>
      <c r="Q178" s="43"/>
    </row>
    <row r="179" spans="1:17" ht="15" customHeight="1" x14ac:dyDescent="0.25">
      <c r="A179" s="150">
        <v>15.77</v>
      </c>
      <c r="B179" s="15" t="s">
        <v>219</v>
      </c>
      <c r="C179" s="34">
        <f t="shared" si="111"/>
        <v>41.255999999999993</v>
      </c>
      <c r="D179" s="131">
        <f>17.74-2.46</f>
        <v>15.279999999999998</v>
      </c>
      <c r="E179" s="17">
        <v>2.7</v>
      </c>
      <c r="F179" s="33">
        <v>1</v>
      </c>
      <c r="G179" s="45"/>
      <c r="H179" s="65"/>
      <c r="I179" s="42"/>
      <c r="J179" s="43"/>
      <c r="K179" s="43"/>
      <c r="L179" s="43">
        <f>C179</f>
        <v>41.255999999999993</v>
      </c>
      <c r="M179" s="43"/>
      <c r="N179" s="43"/>
      <c r="O179" s="43"/>
      <c r="P179" s="43"/>
      <c r="Q179" s="43"/>
    </row>
    <row r="180" spans="1:17" ht="15" customHeight="1" x14ac:dyDescent="0.25">
      <c r="A180" s="150"/>
      <c r="B180" s="15"/>
      <c r="C180" s="34">
        <f t="shared" si="111"/>
        <v>6.6420000000000003</v>
      </c>
      <c r="D180" s="131">
        <v>2.46</v>
      </c>
      <c r="E180" s="17">
        <v>2.7</v>
      </c>
      <c r="F180" s="33">
        <v>1</v>
      </c>
      <c r="G180" s="45"/>
      <c r="H180" s="65">
        <f t="shared" ref="H180" si="146">C180</f>
        <v>6.6420000000000003</v>
      </c>
      <c r="I180" s="42">
        <f t="shared" ref="I180" si="147">H180-J180</f>
        <v>6.6420000000000003</v>
      </c>
      <c r="J180" s="43"/>
      <c r="K180" s="43"/>
      <c r="L180" s="43">
        <f t="shared" ref="L180" si="148">I180</f>
        <v>6.6420000000000003</v>
      </c>
      <c r="M180" s="43"/>
      <c r="N180" s="43"/>
      <c r="O180" s="43"/>
      <c r="P180" s="43"/>
      <c r="Q180" s="43"/>
    </row>
    <row r="181" spans="1:17" ht="15" customHeight="1" x14ac:dyDescent="0.25">
      <c r="A181" s="150">
        <v>14.72</v>
      </c>
      <c r="B181" s="15" t="s">
        <v>220</v>
      </c>
      <c r="C181" s="34">
        <f t="shared" si="111"/>
        <v>40.689</v>
      </c>
      <c r="D181" s="131">
        <f>17.57-2.5</f>
        <v>15.07</v>
      </c>
      <c r="E181" s="17">
        <v>2.7</v>
      </c>
      <c r="F181" s="33">
        <v>1</v>
      </c>
      <c r="G181" s="45"/>
      <c r="H181" s="65"/>
      <c r="I181" s="42"/>
      <c r="J181" s="43"/>
      <c r="K181" s="43"/>
      <c r="L181" s="43">
        <f>C181</f>
        <v>40.689</v>
      </c>
      <c r="M181" s="43"/>
      <c r="N181" s="43"/>
      <c r="O181" s="43"/>
      <c r="P181" s="43"/>
      <c r="Q181" s="43"/>
    </row>
    <row r="182" spans="1:17" ht="15" customHeight="1" x14ac:dyDescent="0.25">
      <c r="A182" s="150"/>
      <c r="B182" s="15"/>
      <c r="C182" s="34">
        <f t="shared" si="111"/>
        <v>6.75</v>
      </c>
      <c r="D182" s="131">
        <v>2.5</v>
      </c>
      <c r="E182" s="17">
        <v>2.7</v>
      </c>
      <c r="F182" s="33">
        <v>1</v>
      </c>
      <c r="G182" s="45"/>
      <c r="H182" s="65">
        <f t="shared" ref="H182" si="149">C182</f>
        <v>6.75</v>
      </c>
      <c r="I182" s="42">
        <f t="shared" ref="I182" si="150">H182-J182</f>
        <v>6.75</v>
      </c>
      <c r="J182" s="43"/>
      <c r="K182" s="43"/>
      <c r="L182" s="43">
        <f t="shared" ref="L182" si="151">I182</f>
        <v>6.75</v>
      </c>
      <c r="M182" s="43"/>
      <c r="N182" s="43"/>
      <c r="O182" s="43"/>
      <c r="P182" s="43"/>
      <c r="Q182" s="43"/>
    </row>
    <row r="183" spans="1:17" ht="15" customHeight="1" x14ac:dyDescent="0.25">
      <c r="A183" s="150">
        <v>16.02</v>
      </c>
      <c r="B183" s="15" t="s">
        <v>221</v>
      </c>
      <c r="C183" s="34">
        <f t="shared" si="111"/>
        <v>41.364000000000004</v>
      </c>
      <c r="D183" s="131">
        <f>17.82-2.5</f>
        <v>15.32</v>
      </c>
      <c r="E183" s="17">
        <v>2.7</v>
      </c>
      <c r="F183" s="33">
        <v>1</v>
      </c>
      <c r="G183" s="45"/>
      <c r="H183" s="65"/>
      <c r="I183" s="42"/>
      <c r="J183" s="43"/>
      <c r="K183" s="43"/>
      <c r="L183" s="43">
        <f>C183</f>
        <v>41.364000000000004</v>
      </c>
      <c r="M183" s="43"/>
      <c r="N183" s="43"/>
      <c r="O183" s="43"/>
      <c r="P183" s="43"/>
      <c r="Q183" s="43"/>
    </row>
    <row r="184" spans="1:17" ht="15" customHeight="1" x14ac:dyDescent="0.25">
      <c r="A184" s="150"/>
      <c r="B184" s="15"/>
      <c r="C184" s="34">
        <f t="shared" si="111"/>
        <v>6.75</v>
      </c>
      <c r="D184" s="131">
        <v>2.5</v>
      </c>
      <c r="E184" s="17">
        <v>2.7</v>
      </c>
      <c r="F184" s="33">
        <v>1</v>
      </c>
      <c r="G184" s="45"/>
      <c r="H184" s="65">
        <f t="shared" ref="H184" si="152">C184</f>
        <v>6.75</v>
      </c>
      <c r="I184" s="42">
        <f t="shared" ref="I184" si="153">H184-J184</f>
        <v>6.75</v>
      </c>
      <c r="J184" s="43"/>
      <c r="K184" s="43"/>
      <c r="L184" s="43">
        <f t="shared" ref="L184" si="154">I184</f>
        <v>6.75</v>
      </c>
      <c r="M184" s="43"/>
      <c r="N184" s="43"/>
      <c r="O184" s="43"/>
      <c r="P184" s="43"/>
      <c r="Q184" s="43"/>
    </row>
    <row r="185" spans="1:17" ht="15" customHeight="1" x14ac:dyDescent="0.25">
      <c r="A185" s="150">
        <v>16.350000000000001</v>
      </c>
      <c r="B185" s="15" t="s">
        <v>222</v>
      </c>
      <c r="C185" s="34">
        <f t="shared" si="111"/>
        <v>41.499000000000002</v>
      </c>
      <c r="D185" s="131">
        <f>17.92-2.55</f>
        <v>15.370000000000001</v>
      </c>
      <c r="E185" s="17">
        <v>2.7</v>
      </c>
      <c r="F185" s="33">
        <v>1</v>
      </c>
      <c r="G185" s="45"/>
      <c r="H185" s="65"/>
      <c r="I185" s="42"/>
      <c r="J185" s="43"/>
      <c r="K185" s="43"/>
      <c r="L185" s="43">
        <f>C185</f>
        <v>41.499000000000002</v>
      </c>
      <c r="M185" s="43"/>
      <c r="N185" s="43"/>
      <c r="O185" s="43"/>
      <c r="P185" s="43"/>
      <c r="Q185" s="43"/>
    </row>
    <row r="186" spans="1:17" ht="15" customHeight="1" x14ac:dyDescent="0.25">
      <c r="A186" s="150"/>
      <c r="B186" s="15"/>
      <c r="C186" s="34">
        <f t="shared" si="111"/>
        <v>6.8849999999999998</v>
      </c>
      <c r="D186" s="131">
        <v>2.5499999999999998</v>
      </c>
      <c r="E186" s="17">
        <v>2.7</v>
      </c>
      <c r="F186" s="33">
        <v>1</v>
      </c>
      <c r="G186" s="45"/>
      <c r="H186" s="65">
        <f t="shared" ref="H186" si="155">C186</f>
        <v>6.8849999999999998</v>
      </c>
      <c r="I186" s="42">
        <f t="shared" ref="I186" si="156">H186-J186</f>
        <v>6.8849999999999998</v>
      </c>
      <c r="J186" s="43"/>
      <c r="K186" s="43"/>
      <c r="L186" s="43">
        <f t="shared" ref="L186" si="157">I186</f>
        <v>6.8849999999999998</v>
      </c>
      <c r="M186" s="43"/>
      <c r="N186" s="43"/>
      <c r="O186" s="43"/>
      <c r="P186" s="43"/>
      <c r="Q186" s="43"/>
    </row>
    <row r="187" spans="1:17" ht="15" customHeight="1" x14ac:dyDescent="0.25">
      <c r="A187" s="150">
        <v>14.72</v>
      </c>
      <c r="B187" s="15" t="s">
        <v>223</v>
      </c>
      <c r="C187" s="34">
        <f t="shared" si="111"/>
        <v>41.796000000000006</v>
      </c>
      <c r="D187" s="131">
        <f>17.59-2.11</f>
        <v>15.48</v>
      </c>
      <c r="E187" s="17">
        <v>2.7</v>
      </c>
      <c r="F187" s="33">
        <v>1</v>
      </c>
      <c r="G187" s="45"/>
      <c r="H187" s="65"/>
      <c r="I187" s="42"/>
      <c r="J187" s="43"/>
      <c r="K187" s="43"/>
      <c r="L187" s="43">
        <f>C187</f>
        <v>41.796000000000006</v>
      </c>
      <c r="M187" s="43"/>
      <c r="N187" s="43"/>
      <c r="O187" s="43"/>
      <c r="P187" s="43"/>
      <c r="Q187" s="43"/>
    </row>
    <row r="188" spans="1:17" ht="15" customHeight="1" x14ac:dyDescent="0.25">
      <c r="A188" s="150"/>
      <c r="B188" s="15"/>
      <c r="C188" s="34">
        <f t="shared" si="111"/>
        <v>5.0639999999999992</v>
      </c>
      <c r="D188" s="131">
        <v>2.11</v>
      </c>
      <c r="E188" s="17">
        <v>2.4</v>
      </c>
      <c r="F188" s="33">
        <v>1</v>
      </c>
      <c r="G188" s="45"/>
      <c r="H188" s="65">
        <f t="shared" ref="H188" si="158">C188</f>
        <v>5.0639999999999992</v>
      </c>
      <c r="I188" s="42">
        <f t="shared" ref="I188" si="159">H188-J188</f>
        <v>5.0639999999999992</v>
      </c>
      <c r="J188" s="43"/>
      <c r="K188" s="43"/>
      <c r="L188" s="43">
        <f t="shared" ref="L188" si="160">I188</f>
        <v>5.0639999999999992</v>
      </c>
      <c r="M188" s="43"/>
      <c r="N188" s="43"/>
      <c r="O188" s="43"/>
      <c r="P188" s="43"/>
      <c r="Q188" s="43"/>
    </row>
    <row r="189" spans="1:17" ht="15" customHeight="1" x14ac:dyDescent="0.25">
      <c r="A189" s="219">
        <v>15.01</v>
      </c>
      <c r="B189" s="220" t="s">
        <v>224</v>
      </c>
      <c r="C189" s="34">
        <f t="shared" si="111"/>
        <v>40.770000000000003</v>
      </c>
      <c r="D189" s="131">
        <f>18.25-3.15</f>
        <v>15.1</v>
      </c>
      <c r="E189" s="17">
        <v>2.7</v>
      </c>
      <c r="F189" s="33">
        <v>1</v>
      </c>
      <c r="G189" s="45"/>
      <c r="H189" s="65"/>
      <c r="I189" s="42"/>
      <c r="J189" s="43"/>
      <c r="K189" s="43"/>
      <c r="L189" s="43">
        <f>C189</f>
        <v>40.770000000000003</v>
      </c>
      <c r="M189" s="43"/>
      <c r="N189" s="43"/>
      <c r="O189" s="43"/>
      <c r="P189" s="43"/>
      <c r="Q189" s="43"/>
    </row>
    <row r="190" spans="1:17" ht="15" customHeight="1" x14ac:dyDescent="0.25">
      <c r="A190" s="150">
        <v>4.41</v>
      </c>
      <c r="B190" s="15" t="s">
        <v>212</v>
      </c>
      <c r="C190" s="34">
        <f t="shared" si="111"/>
        <v>23.193000000000001</v>
      </c>
      <c r="D190" s="131">
        <v>8.59</v>
      </c>
      <c r="E190" s="17">
        <v>2.7</v>
      </c>
      <c r="F190" s="33">
        <v>1</v>
      </c>
      <c r="G190" s="45"/>
      <c r="H190" s="65"/>
      <c r="I190" s="42"/>
      <c r="J190" s="43"/>
      <c r="K190" s="43"/>
      <c r="L190" s="43">
        <f>C190</f>
        <v>23.193000000000001</v>
      </c>
      <c r="M190" s="43"/>
      <c r="N190" s="43"/>
      <c r="O190" s="43"/>
      <c r="P190" s="43"/>
      <c r="Q190" s="43"/>
    </row>
    <row r="191" spans="1:17" ht="15" customHeight="1" x14ac:dyDescent="0.25">
      <c r="A191" s="219">
        <v>5.64</v>
      </c>
      <c r="B191" s="220" t="s">
        <v>168</v>
      </c>
      <c r="C191" s="34">
        <f t="shared" si="111"/>
        <v>23.355000000000004</v>
      </c>
      <c r="D191" s="131">
        <f>11.8-3.15</f>
        <v>8.65</v>
      </c>
      <c r="E191" s="17">
        <v>2.7</v>
      </c>
      <c r="F191" s="33">
        <v>1</v>
      </c>
      <c r="G191" s="45"/>
      <c r="H191" s="65"/>
      <c r="I191" s="42"/>
      <c r="J191" s="43"/>
      <c r="K191" s="43"/>
      <c r="L191" s="43">
        <f>C191</f>
        <v>23.355000000000004</v>
      </c>
      <c r="M191" s="43"/>
      <c r="N191" s="43"/>
      <c r="O191" s="43"/>
      <c r="P191" s="43"/>
      <c r="Q191" s="43"/>
    </row>
    <row r="192" spans="1:17" ht="15" customHeight="1" x14ac:dyDescent="0.25">
      <c r="A192" s="150">
        <v>3.4</v>
      </c>
      <c r="B192" s="15" t="s">
        <v>189</v>
      </c>
      <c r="C192" s="34">
        <f t="shared" si="111"/>
        <v>14.2546</v>
      </c>
      <c r="D192" s="131">
        <f>7.53-2.27</f>
        <v>5.26</v>
      </c>
      <c r="E192" s="17">
        <v>2.71</v>
      </c>
      <c r="F192" s="33">
        <v>1</v>
      </c>
      <c r="G192" s="45"/>
      <c r="H192" s="65"/>
      <c r="I192" s="42"/>
      <c r="J192" s="43"/>
      <c r="K192" s="43"/>
      <c r="L192" s="43"/>
      <c r="M192" s="43"/>
      <c r="N192" s="43"/>
      <c r="O192" s="43"/>
      <c r="P192" s="43">
        <f>C192</f>
        <v>14.2546</v>
      </c>
      <c r="Q192" s="43"/>
    </row>
    <row r="193" spans="1:17" ht="15" customHeight="1" x14ac:dyDescent="0.25">
      <c r="A193" s="150"/>
      <c r="B193" s="15"/>
      <c r="C193" s="34">
        <f t="shared" si="111"/>
        <v>6.1516999999999999</v>
      </c>
      <c r="D193" s="131">
        <v>2.27</v>
      </c>
      <c r="E193" s="17">
        <v>2.71</v>
      </c>
      <c r="F193" s="33">
        <v>1</v>
      </c>
      <c r="G193" s="45"/>
      <c r="H193" s="65">
        <f t="shared" ref="H193" si="161">C193</f>
        <v>6.1516999999999999</v>
      </c>
      <c r="I193" s="42"/>
      <c r="J193" s="43">
        <f>H193-I193</f>
        <v>6.1516999999999999</v>
      </c>
      <c r="K193" s="43"/>
      <c r="L193" s="43"/>
      <c r="M193" s="43"/>
      <c r="N193" s="43"/>
      <c r="O193" s="43"/>
      <c r="P193" s="43">
        <f>J193</f>
        <v>6.1516999999999999</v>
      </c>
      <c r="Q193" s="43"/>
    </row>
    <row r="194" spans="1:17" ht="15" customHeight="1" x14ac:dyDescent="0.25">
      <c r="A194" s="150">
        <v>7.07</v>
      </c>
      <c r="B194" s="15" t="s">
        <v>225</v>
      </c>
      <c r="C194" s="34">
        <f t="shared" si="111"/>
        <v>46.774599999999992</v>
      </c>
      <c r="D194" s="131">
        <f>10.83-2.2</f>
        <v>8.629999999999999</v>
      </c>
      <c r="E194" s="17">
        <v>2.71</v>
      </c>
      <c r="F194" s="33">
        <v>2</v>
      </c>
      <c r="G194" s="45"/>
      <c r="H194" s="65"/>
      <c r="I194" s="42"/>
      <c r="J194" s="43"/>
      <c r="K194" s="43"/>
      <c r="L194" s="43"/>
      <c r="M194" s="43"/>
      <c r="N194" s="43"/>
      <c r="O194" s="43"/>
      <c r="P194" s="43">
        <f>C194</f>
        <v>46.774599999999992</v>
      </c>
      <c r="Q194" s="43"/>
    </row>
    <row r="195" spans="1:17" ht="15" customHeight="1" x14ac:dyDescent="0.25">
      <c r="A195" s="150"/>
      <c r="B195" s="15"/>
      <c r="C195" s="34">
        <f t="shared" si="111"/>
        <v>11.924000000000001</v>
      </c>
      <c r="D195" s="131">
        <v>2.2000000000000002</v>
      </c>
      <c r="E195" s="17">
        <v>2.71</v>
      </c>
      <c r="F195" s="33">
        <v>2</v>
      </c>
      <c r="G195" s="45"/>
      <c r="H195" s="65">
        <f t="shared" ref="H195" si="162">C195</f>
        <v>11.924000000000001</v>
      </c>
      <c r="I195" s="42"/>
      <c r="J195" s="43">
        <f>H195-I195</f>
        <v>11.924000000000001</v>
      </c>
      <c r="K195" s="43"/>
      <c r="L195" s="43"/>
      <c r="M195" s="43"/>
      <c r="N195" s="43"/>
      <c r="O195" s="43"/>
      <c r="P195" s="43">
        <f>J195</f>
        <v>11.924000000000001</v>
      </c>
      <c r="Q195" s="43"/>
    </row>
    <row r="196" spans="1:17" ht="25.05" customHeight="1" x14ac:dyDescent="0.25">
      <c r="A196" s="150">
        <v>6.26</v>
      </c>
      <c r="B196" s="254" t="s">
        <v>226</v>
      </c>
      <c r="C196" s="34">
        <f t="shared" si="111"/>
        <v>15.086</v>
      </c>
      <c r="D196" s="131">
        <f>10.34-1.66</f>
        <v>8.68</v>
      </c>
      <c r="E196" s="17">
        <v>2.7</v>
      </c>
      <c r="F196" s="33">
        <v>1</v>
      </c>
      <c r="G196" s="45">
        <v>8.35</v>
      </c>
      <c r="H196" s="65"/>
      <c r="I196" s="42"/>
      <c r="J196" s="43"/>
      <c r="K196" s="43"/>
      <c r="L196" s="43">
        <f>C196</f>
        <v>15.086</v>
      </c>
      <c r="M196" s="43"/>
      <c r="N196" s="43"/>
      <c r="O196" s="43"/>
      <c r="P196" s="43"/>
      <c r="Q196" s="43"/>
    </row>
    <row r="197" spans="1:17" ht="25.05" customHeight="1" x14ac:dyDescent="0.25">
      <c r="A197" s="150"/>
      <c r="B197" s="254"/>
      <c r="C197" s="34">
        <f t="shared" si="111"/>
        <v>4.4820000000000002</v>
      </c>
      <c r="D197" s="131">
        <v>1.66</v>
      </c>
      <c r="E197" s="17">
        <v>2.7</v>
      </c>
      <c r="F197" s="33">
        <v>1</v>
      </c>
      <c r="G197" s="45"/>
      <c r="H197" s="65">
        <f t="shared" ref="H197" si="163">C197</f>
        <v>4.4820000000000002</v>
      </c>
      <c r="I197" s="42">
        <f t="shared" ref="I197" si="164">H197-J197</f>
        <v>4.4820000000000002</v>
      </c>
      <c r="J197" s="43"/>
      <c r="K197" s="43"/>
      <c r="L197" s="43">
        <f t="shared" ref="L197" si="165">I197</f>
        <v>4.4820000000000002</v>
      </c>
      <c r="M197" s="43"/>
      <c r="N197" s="43"/>
      <c r="O197" s="43"/>
      <c r="P197" s="43"/>
      <c r="Q197" s="43"/>
    </row>
    <row r="198" spans="1:17" ht="15" customHeight="1" x14ac:dyDescent="0.25">
      <c r="A198" s="150">
        <v>1.62</v>
      </c>
      <c r="B198" s="254" t="s">
        <v>229</v>
      </c>
      <c r="C198" s="34">
        <f t="shared" si="111"/>
        <v>20.150000000000002</v>
      </c>
      <c r="D198" s="131">
        <v>7.11</v>
      </c>
      <c r="E198" s="17">
        <v>4</v>
      </c>
      <c r="F198" s="33">
        <v>1</v>
      </c>
      <c r="G198" s="45">
        <v>8.2899999999999991</v>
      </c>
      <c r="H198" s="65"/>
      <c r="I198" s="42"/>
      <c r="J198" s="43"/>
      <c r="K198" s="43"/>
      <c r="L198" s="43">
        <f>C198</f>
        <v>20.150000000000002</v>
      </c>
      <c r="M198" s="43"/>
      <c r="N198" s="43"/>
      <c r="O198" s="43"/>
      <c r="P198" s="43"/>
      <c r="Q198" s="43"/>
    </row>
    <row r="199" spans="1:17" ht="15" customHeight="1" x14ac:dyDescent="0.25">
      <c r="A199" s="150"/>
      <c r="B199" s="254"/>
      <c r="C199" s="34">
        <f t="shared" si="111"/>
        <v>12.08</v>
      </c>
      <c r="D199" s="131">
        <v>3.02</v>
      </c>
      <c r="E199" s="17">
        <v>4</v>
      </c>
      <c r="F199" s="33">
        <v>1</v>
      </c>
      <c r="G199" s="45"/>
      <c r="H199" s="65">
        <f t="shared" ref="H199" si="166">C199</f>
        <v>12.08</v>
      </c>
      <c r="I199" s="42">
        <f t="shared" ref="I199" si="167">H199-J199</f>
        <v>12.08</v>
      </c>
      <c r="J199" s="43"/>
      <c r="K199" s="43"/>
      <c r="L199" s="43">
        <f t="shared" ref="L199" si="168">I199</f>
        <v>12.08</v>
      </c>
      <c r="M199" s="43"/>
      <c r="N199" s="43"/>
      <c r="O199" s="43"/>
      <c r="P199" s="43"/>
      <c r="Q199" s="43"/>
    </row>
    <row r="200" spans="1:17" ht="15" customHeight="1" x14ac:dyDescent="0.25">
      <c r="A200" s="150">
        <v>0.54</v>
      </c>
      <c r="B200" s="254" t="s">
        <v>229</v>
      </c>
      <c r="C200" s="34">
        <f t="shared" si="111"/>
        <v>8.2799999999999994</v>
      </c>
      <c r="D200" s="131">
        <f>3.07-1</f>
        <v>2.0699999999999998</v>
      </c>
      <c r="E200" s="17">
        <v>4</v>
      </c>
      <c r="F200" s="33">
        <v>1</v>
      </c>
      <c r="G200" s="45"/>
      <c r="H200" s="65"/>
      <c r="I200" s="42"/>
      <c r="J200" s="43"/>
      <c r="K200" s="43"/>
      <c r="L200" s="43">
        <f>C200</f>
        <v>8.2799999999999994</v>
      </c>
      <c r="M200" s="43"/>
      <c r="N200" s="43"/>
      <c r="O200" s="43"/>
      <c r="P200" s="43"/>
      <c r="Q200" s="43"/>
    </row>
    <row r="201" spans="1:17" ht="15" customHeight="1" x14ac:dyDescent="0.25">
      <c r="A201" s="150"/>
      <c r="B201" s="254"/>
      <c r="C201" s="34">
        <f t="shared" si="111"/>
        <v>4</v>
      </c>
      <c r="D201" s="131">
        <v>1</v>
      </c>
      <c r="E201" s="17">
        <v>4</v>
      </c>
      <c r="F201" s="33">
        <v>1</v>
      </c>
      <c r="G201" s="45"/>
      <c r="H201" s="65">
        <f t="shared" ref="H201" si="169">C201</f>
        <v>4</v>
      </c>
      <c r="I201" s="42">
        <f t="shared" ref="I201" si="170">H201-J201</f>
        <v>4</v>
      </c>
      <c r="J201" s="43"/>
      <c r="K201" s="43"/>
      <c r="L201" s="43">
        <f t="shared" ref="L201" si="171">I201</f>
        <v>4</v>
      </c>
      <c r="M201" s="43"/>
      <c r="N201" s="43"/>
      <c r="O201" s="43"/>
      <c r="P201" s="43"/>
      <c r="Q201" s="43"/>
    </row>
    <row r="202" spans="1:17" ht="15" customHeight="1" x14ac:dyDescent="0.25">
      <c r="A202" s="150">
        <v>1.1499999999999999</v>
      </c>
      <c r="B202" s="254" t="s">
        <v>229</v>
      </c>
      <c r="C202" s="34">
        <f t="shared" si="111"/>
        <v>4.5299999999999994</v>
      </c>
      <c r="D202" s="131">
        <f>5.38-2.16</f>
        <v>3.2199999999999998</v>
      </c>
      <c r="E202" s="17">
        <v>4</v>
      </c>
      <c r="F202" s="33">
        <v>1</v>
      </c>
      <c r="G202" s="45">
        <v>8.35</v>
      </c>
      <c r="H202" s="65"/>
      <c r="I202" s="42"/>
      <c r="J202" s="43"/>
      <c r="K202" s="43"/>
      <c r="L202" s="43">
        <f>C202</f>
        <v>4.5299999999999994</v>
      </c>
      <c r="M202" s="43"/>
      <c r="N202" s="43"/>
      <c r="O202" s="43"/>
      <c r="P202" s="43"/>
      <c r="Q202" s="43"/>
    </row>
    <row r="203" spans="1:17" ht="15" customHeight="1" x14ac:dyDescent="0.25">
      <c r="A203" s="150"/>
      <c r="B203" s="280"/>
      <c r="C203" s="34">
        <f t="shared" si="111"/>
        <v>8.64</v>
      </c>
      <c r="D203" s="428">
        <v>2.16</v>
      </c>
      <c r="E203" s="429">
        <v>4</v>
      </c>
      <c r="F203" s="430">
        <v>1</v>
      </c>
      <c r="G203" s="431"/>
      <c r="H203" s="65">
        <f t="shared" ref="H203" si="172">C203</f>
        <v>8.64</v>
      </c>
      <c r="I203" s="42">
        <f t="shared" ref="I203" si="173">H203-J203</f>
        <v>8.64</v>
      </c>
      <c r="J203" s="432"/>
      <c r="K203" s="432"/>
      <c r="L203" s="43">
        <f t="shared" ref="L203" si="174">I203</f>
        <v>8.64</v>
      </c>
      <c r="M203" s="432"/>
      <c r="N203" s="432"/>
      <c r="O203" s="432"/>
      <c r="P203" s="432"/>
      <c r="Q203" s="432"/>
    </row>
    <row r="204" spans="1:17" ht="15" customHeight="1" x14ac:dyDescent="0.25">
      <c r="A204" s="219">
        <v>5.67</v>
      </c>
      <c r="B204" s="220" t="s">
        <v>168</v>
      </c>
      <c r="C204" s="34">
        <f t="shared" si="111"/>
        <v>19.304000000000006</v>
      </c>
      <c r="D204" s="131">
        <v>10.220000000000001</v>
      </c>
      <c r="E204" s="17">
        <v>2.7</v>
      </c>
      <c r="F204" s="33">
        <v>1</v>
      </c>
      <c r="G204" s="261">
        <v>8.2899999999999991</v>
      </c>
      <c r="H204" s="65"/>
      <c r="I204" s="42"/>
      <c r="J204" s="43"/>
      <c r="K204" s="43"/>
      <c r="L204" s="43">
        <f>C204</f>
        <v>19.304000000000006</v>
      </c>
      <c r="M204" s="43"/>
      <c r="N204" s="43"/>
      <c r="O204" s="43"/>
      <c r="P204" s="43"/>
      <c r="Q204" s="43"/>
    </row>
    <row r="205" spans="1:17" ht="15" customHeight="1" x14ac:dyDescent="0.25">
      <c r="A205" s="219">
        <v>17.350000000000001</v>
      </c>
      <c r="B205" s="318" t="s">
        <v>168</v>
      </c>
      <c r="C205" s="321">
        <f t="shared" si="111"/>
        <v>26.475000000000005</v>
      </c>
      <c r="D205" s="322">
        <f>19.5-(2+6.45)</f>
        <v>11.05</v>
      </c>
      <c r="E205" s="323">
        <v>2.7</v>
      </c>
      <c r="F205" s="29">
        <v>1</v>
      </c>
      <c r="G205" s="45">
        <v>3.36</v>
      </c>
      <c r="H205" s="324"/>
      <c r="I205" s="325"/>
      <c r="J205" s="326"/>
      <c r="K205" s="326"/>
      <c r="L205" s="43">
        <f>C205</f>
        <v>26.475000000000005</v>
      </c>
      <c r="M205" s="326"/>
      <c r="N205" s="326"/>
      <c r="O205" s="326"/>
      <c r="P205" s="326"/>
      <c r="Q205" s="326"/>
    </row>
    <row r="206" spans="1:17" ht="15" customHeight="1" x14ac:dyDescent="0.25">
      <c r="A206" s="150"/>
      <c r="B206" s="274"/>
      <c r="C206" s="321">
        <f t="shared" si="111"/>
        <v>17.415000000000003</v>
      </c>
      <c r="D206" s="322">
        <v>6.45</v>
      </c>
      <c r="E206" s="323">
        <v>2.7</v>
      </c>
      <c r="F206" s="29">
        <v>1</v>
      </c>
      <c r="G206" s="45"/>
      <c r="H206" s="324">
        <f t="shared" ref="H206" si="175">C206</f>
        <v>17.415000000000003</v>
      </c>
      <c r="I206" s="325">
        <f t="shared" ref="I206" si="176">H206-J206</f>
        <v>17.415000000000003</v>
      </c>
      <c r="J206" s="326"/>
      <c r="K206" s="326"/>
      <c r="L206" s="326">
        <f t="shared" ref="L206" si="177">I206</f>
        <v>17.415000000000003</v>
      </c>
      <c r="M206" s="326"/>
      <c r="N206" s="326"/>
      <c r="O206" s="326"/>
      <c r="P206" s="326"/>
      <c r="Q206" s="326"/>
    </row>
    <row r="207" spans="1:17" ht="15" customHeight="1" x14ac:dyDescent="0.25">
      <c r="A207" s="219">
        <v>20.7</v>
      </c>
      <c r="B207" s="317" t="s">
        <v>168</v>
      </c>
      <c r="C207" s="34">
        <f t="shared" si="111"/>
        <v>46.509</v>
      </c>
      <c r="D207" s="131">
        <f>25.99-7.52</f>
        <v>18.47</v>
      </c>
      <c r="E207" s="17">
        <v>2.7</v>
      </c>
      <c r="F207" s="33">
        <v>1</v>
      </c>
      <c r="G207" s="261">
        <v>3.36</v>
      </c>
      <c r="H207" s="65"/>
      <c r="I207" s="42"/>
      <c r="J207" s="43"/>
      <c r="K207" s="43"/>
      <c r="L207" s="43">
        <f>C207</f>
        <v>46.509</v>
      </c>
      <c r="M207" s="43"/>
      <c r="N207" s="43"/>
      <c r="O207" s="43"/>
      <c r="P207" s="43"/>
      <c r="Q207" s="43"/>
    </row>
    <row r="208" spans="1:17" ht="15" customHeight="1" x14ac:dyDescent="0.25">
      <c r="A208" s="219">
        <v>24.51</v>
      </c>
      <c r="B208" s="317" t="s">
        <v>332</v>
      </c>
      <c r="C208" s="34">
        <f t="shared" si="111"/>
        <v>98.895500000000013</v>
      </c>
      <c r="D208" s="131">
        <f>27.67</f>
        <v>27.67</v>
      </c>
      <c r="E208" s="17">
        <v>3.65</v>
      </c>
      <c r="F208" s="33">
        <v>1</v>
      </c>
      <c r="G208" s="261">
        <v>2.1</v>
      </c>
      <c r="H208" s="65"/>
      <c r="I208" s="42"/>
      <c r="J208" s="43"/>
      <c r="K208" s="43"/>
      <c r="L208" s="43"/>
      <c r="M208" s="43">
        <f>C208</f>
        <v>98.895500000000013</v>
      </c>
      <c r="N208" s="43"/>
      <c r="O208" s="43"/>
      <c r="P208" s="43"/>
      <c r="Q208" s="43"/>
    </row>
    <row r="209" spans="1:17" ht="15" customHeight="1" x14ac:dyDescent="0.25">
      <c r="A209" s="150">
        <v>11.67</v>
      </c>
      <c r="B209" s="262" t="s">
        <v>271</v>
      </c>
      <c r="C209" s="34">
        <f t="shared" si="111"/>
        <v>20.304000000000002</v>
      </c>
      <c r="D209" s="131">
        <f>14.97-7.45</f>
        <v>7.5200000000000005</v>
      </c>
      <c r="E209" s="17">
        <v>2.7</v>
      </c>
      <c r="F209" s="33">
        <v>1</v>
      </c>
      <c r="G209" s="261"/>
      <c r="H209" s="65"/>
      <c r="I209" s="42"/>
      <c r="J209" s="43"/>
      <c r="K209" s="43"/>
      <c r="L209" s="43">
        <f>C209</f>
        <v>20.304000000000002</v>
      </c>
      <c r="M209" s="43"/>
      <c r="N209" s="43"/>
      <c r="O209" s="43"/>
      <c r="P209" s="43"/>
      <c r="Q209" s="43"/>
    </row>
    <row r="210" spans="1:17" ht="15" customHeight="1" x14ac:dyDescent="0.25">
      <c r="A210" s="150"/>
      <c r="B210" s="262"/>
      <c r="C210" s="34">
        <f t="shared" si="111"/>
        <v>20.115000000000002</v>
      </c>
      <c r="D210" s="131">
        <v>7.45</v>
      </c>
      <c r="E210" s="17">
        <v>2.7</v>
      </c>
      <c r="F210" s="33">
        <v>1</v>
      </c>
      <c r="G210" s="261"/>
      <c r="H210" s="65">
        <f t="shared" ref="H210" si="178">C210</f>
        <v>20.115000000000002</v>
      </c>
      <c r="I210" s="42">
        <f t="shared" ref="I210" si="179">H210-J210</f>
        <v>20.115000000000002</v>
      </c>
      <c r="J210" s="43"/>
      <c r="K210" s="43"/>
      <c r="L210" s="43">
        <f t="shared" ref="L210" si="180">I210</f>
        <v>20.115000000000002</v>
      </c>
      <c r="M210" s="43"/>
      <c r="N210" s="43"/>
      <c r="O210" s="43"/>
      <c r="P210" s="43"/>
      <c r="Q210" s="43"/>
    </row>
    <row r="211" spans="1:17" ht="15" customHeight="1" x14ac:dyDescent="0.25">
      <c r="A211" s="150">
        <v>5.9</v>
      </c>
      <c r="B211" s="262" t="s">
        <v>333</v>
      </c>
      <c r="C211" s="34">
        <f t="shared" si="111"/>
        <v>18.644800000000004</v>
      </c>
      <c r="D211" s="131">
        <f>10.15-3.27</f>
        <v>6.8800000000000008</v>
      </c>
      <c r="E211" s="17">
        <v>2.71</v>
      </c>
      <c r="F211" s="33">
        <v>1</v>
      </c>
      <c r="G211" s="261"/>
      <c r="H211" s="65"/>
      <c r="I211" s="42"/>
      <c r="J211" s="43"/>
      <c r="K211" s="43"/>
      <c r="L211" s="43">
        <f>C211</f>
        <v>18.644800000000004</v>
      </c>
      <c r="M211" s="43"/>
      <c r="N211" s="43"/>
      <c r="O211" s="43"/>
      <c r="P211" s="43"/>
      <c r="Q211" s="43"/>
    </row>
    <row r="212" spans="1:17" ht="15" customHeight="1" x14ac:dyDescent="0.25">
      <c r="A212" s="150"/>
      <c r="B212" s="262"/>
      <c r="C212" s="34">
        <f t="shared" si="111"/>
        <v>8.8617000000000008</v>
      </c>
      <c r="D212" s="131">
        <v>3.27</v>
      </c>
      <c r="E212" s="17">
        <v>2.71</v>
      </c>
      <c r="F212" s="33">
        <v>1</v>
      </c>
      <c r="G212" s="261"/>
      <c r="H212" s="65">
        <f t="shared" ref="H212" si="181">C212</f>
        <v>8.8617000000000008</v>
      </c>
      <c r="I212" s="42">
        <f t="shared" ref="I212" si="182">H212-J212</f>
        <v>8.8617000000000008</v>
      </c>
      <c r="J212" s="43"/>
      <c r="K212" s="43"/>
      <c r="L212" s="43">
        <f t="shared" ref="L212" si="183">I212</f>
        <v>8.8617000000000008</v>
      </c>
      <c r="M212" s="43"/>
      <c r="N212" s="43"/>
      <c r="O212" s="43"/>
      <c r="P212" s="43"/>
      <c r="Q212" s="43"/>
    </row>
    <row r="213" spans="1:17" ht="15" customHeight="1" x14ac:dyDescent="0.25">
      <c r="A213" s="150">
        <v>3</v>
      </c>
      <c r="B213" s="262" t="s">
        <v>213</v>
      </c>
      <c r="C213" s="34">
        <f t="shared" si="111"/>
        <v>16.802</v>
      </c>
      <c r="D213" s="131">
        <f>7.4-1.2</f>
        <v>6.2</v>
      </c>
      <c r="E213" s="17">
        <v>2.71</v>
      </c>
      <c r="F213" s="33">
        <v>1</v>
      </c>
      <c r="G213" s="261"/>
      <c r="H213" s="65"/>
      <c r="I213" s="42"/>
      <c r="J213" s="43"/>
      <c r="K213" s="43"/>
      <c r="L213" s="43"/>
      <c r="M213" s="43"/>
      <c r="N213" s="43"/>
      <c r="O213" s="43"/>
      <c r="P213" s="43">
        <f>C213</f>
        <v>16.802</v>
      </c>
      <c r="Q213" s="43"/>
    </row>
    <row r="214" spans="1:17" ht="15" customHeight="1" x14ac:dyDescent="0.25">
      <c r="A214" s="150"/>
      <c r="B214" s="262"/>
      <c r="C214" s="34">
        <f t="shared" si="111"/>
        <v>3.2519999999999998</v>
      </c>
      <c r="D214" s="131">
        <v>1.2</v>
      </c>
      <c r="E214" s="17">
        <v>2.71</v>
      </c>
      <c r="F214" s="33">
        <v>1</v>
      </c>
      <c r="G214" s="261"/>
      <c r="H214" s="65">
        <f t="shared" ref="H214" si="184">C214</f>
        <v>3.2519999999999998</v>
      </c>
      <c r="I214" s="42"/>
      <c r="J214" s="43">
        <f t="shared" ref="J214" si="185">H214-I214</f>
        <v>3.2519999999999998</v>
      </c>
      <c r="K214" s="43"/>
      <c r="L214" s="43"/>
      <c r="M214" s="43"/>
      <c r="N214" s="43"/>
      <c r="O214" s="43"/>
      <c r="P214" s="43">
        <f>J214</f>
        <v>3.2519999999999998</v>
      </c>
      <c r="Q214" s="43"/>
    </row>
    <row r="215" spans="1:17" ht="15" customHeight="1" x14ac:dyDescent="0.25">
      <c r="A215" s="150">
        <v>4.49</v>
      </c>
      <c r="B215" s="262" t="s">
        <v>367</v>
      </c>
      <c r="C215" s="34">
        <f t="shared" si="111"/>
        <v>36.8018</v>
      </c>
      <c r="D215" s="131">
        <f>8.59-1.8</f>
        <v>6.79</v>
      </c>
      <c r="E215" s="17">
        <v>2.71</v>
      </c>
      <c r="F215" s="33">
        <v>2</v>
      </c>
      <c r="G215" s="261"/>
      <c r="H215" s="65"/>
      <c r="I215" s="42"/>
      <c r="J215" s="43"/>
      <c r="K215" s="43"/>
      <c r="L215" s="43"/>
      <c r="M215" s="43"/>
      <c r="N215" s="43"/>
      <c r="O215" s="43"/>
      <c r="P215" s="43">
        <f>C215</f>
        <v>36.8018</v>
      </c>
      <c r="Q215" s="43"/>
    </row>
    <row r="216" spans="1:17" ht="15" customHeight="1" x14ac:dyDescent="0.25">
      <c r="A216" s="150"/>
      <c r="B216" s="262"/>
      <c r="C216" s="34">
        <f t="shared" si="111"/>
        <v>9.7560000000000002</v>
      </c>
      <c r="D216" s="131">
        <v>1.8</v>
      </c>
      <c r="E216" s="17">
        <v>2.71</v>
      </c>
      <c r="F216" s="33">
        <v>2</v>
      </c>
      <c r="G216" s="261"/>
      <c r="H216" s="65">
        <f t="shared" ref="H216" si="186">C216</f>
        <v>9.7560000000000002</v>
      </c>
      <c r="I216" s="42"/>
      <c r="J216" s="43">
        <f t="shared" ref="J216" si="187">H216-I216</f>
        <v>9.7560000000000002</v>
      </c>
      <c r="K216" s="43"/>
      <c r="L216" s="43"/>
      <c r="M216" s="43"/>
      <c r="N216" s="43"/>
      <c r="O216" s="43"/>
      <c r="P216" s="43">
        <f>J216</f>
        <v>9.7560000000000002</v>
      </c>
      <c r="Q216" s="43"/>
    </row>
    <row r="217" spans="1:17" ht="15" customHeight="1" x14ac:dyDescent="0.25">
      <c r="A217" s="150">
        <v>6.29</v>
      </c>
      <c r="B217" s="262" t="s">
        <v>168</v>
      </c>
      <c r="C217" s="34">
        <f t="shared" si="111"/>
        <v>31.563000000000006</v>
      </c>
      <c r="D217" s="131">
        <f>12.89-1.2</f>
        <v>11.690000000000001</v>
      </c>
      <c r="E217" s="17">
        <v>2.7</v>
      </c>
      <c r="F217" s="33">
        <v>1</v>
      </c>
      <c r="G217" s="261"/>
      <c r="H217" s="65"/>
      <c r="I217" s="42"/>
      <c r="J217" s="43"/>
      <c r="K217" s="43"/>
      <c r="L217" s="43">
        <f t="shared" ref="L217:L222" si="188">C217</f>
        <v>31.563000000000006</v>
      </c>
      <c r="M217" s="43"/>
      <c r="N217" s="43"/>
      <c r="O217" s="43"/>
      <c r="P217" s="43"/>
      <c r="Q217" s="43"/>
    </row>
    <row r="218" spans="1:17" ht="15" customHeight="1" x14ac:dyDescent="0.25">
      <c r="A218" s="150">
        <v>3.36</v>
      </c>
      <c r="B218" s="262" t="s">
        <v>334</v>
      </c>
      <c r="C218" s="34">
        <f t="shared" si="111"/>
        <v>14.040000000000001</v>
      </c>
      <c r="D218" s="131">
        <f>8-2.8</f>
        <v>5.2</v>
      </c>
      <c r="E218" s="17">
        <v>2.7</v>
      </c>
      <c r="F218" s="33">
        <v>1</v>
      </c>
      <c r="G218" s="261"/>
      <c r="H218" s="65"/>
      <c r="I218" s="42"/>
      <c r="J218" s="43"/>
      <c r="K218" s="43"/>
      <c r="L218" s="43">
        <f t="shared" si="188"/>
        <v>14.040000000000001</v>
      </c>
      <c r="M218" s="43"/>
      <c r="N218" s="43"/>
      <c r="O218" s="43"/>
      <c r="P218" s="43"/>
      <c r="Q218" s="43"/>
    </row>
    <row r="219" spans="1:17" ht="15" customHeight="1" x14ac:dyDescent="0.25">
      <c r="A219" s="150">
        <v>6.26</v>
      </c>
      <c r="B219" s="262" t="s">
        <v>335</v>
      </c>
      <c r="C219" s="34">
        <f t="shared" si="111"/>
        <v>28.048499999999997</v>
      </c>
      <c r="D219" s="131">
        <v>10.35</v>
      </c>
      <c r="E219" s="17">
        <v>2.71</v>
      </c>
      <c r="F219" s="33">
        <v>1</v>
      </c>
      <c r="G219" s="261"/>
      <c r="H219" s="65"/>
      <c r="I219" s="42"/>
      <c r="J219" s="43"/>
      <c r="K219" s="43"/>
      <c r="L219" s="43">
        <f t="shared" si="188"/>
        <v>28.048499999999997</v>
      </c>
      <c r="M219" s="43"/>
      <c r="N219" s="43"/>
      <c r="O219" s="43"/>
      <c r="P219" s="43"/>
      <c r="Q219" s="43"/>
    </row>
    <row r="220" spans="1:17" ht="15" customHeight="1" x14ac:dyDescent="0.25">
      <c r="A220" s="219">
        <v>4.38</v>
      </c>
      <c r="B220" s="317" t="s">
        <v>168</v>
      </c>
      <c r="C220" s="34">
        <f t="shared" si="111"/>
        <v>22.950000000000003</v>
      </c>
      <c r="D220" s="131">
        <f>9.7-1.2</f>
        <v>8.5</v>
      </c>
      <c r="E220" s="17">
        <v>2.7</v>
      </c>
      <c r="F220" s="33">
        <v>1</v>
      </c>
      <c r="G220" s="261"/>
      <c r="H220" s="65"/>
      <c r="I220" s="42"/>
      <c r="J220" s="43"/>
      <c r="K220" s="43"/>
      <c r="L220" s="43">
        <f t="shared" si="188"/>
        <v>22.950000000000003</v>
      </c>
      <c r="M220" s="43"/>
      <c r="N220" s="43"/>
      <c r="O220" s="43"/>
      <c r="P220" s="43"/>
      <c r="Q220" s="43"/>
    </row>
    <row r="221" spans="1:17" ht="15" customHeight="1" x14ac:dyDescent="0.25">
      <c r="A221" s="219">
        <v>6.56</v>
      </c>
      <c r="B221" s="317" t="s">
        <v>168</v>
      </c>
      <c r="C221" s="34">
        <f t="shared" si="111"/>
        <v>23.853000000000005</v>
      </c>
      <c r="D221" s="131">
        <f>10.89-1.2</f>
        <v>9.6900000000000013</v>
      </c>
      <c r="E221" s="17">
        <v>2.7</v>
      </c>
      <c r="F221" s="33">
        <v>1</v>
      </c>
      <c r="G221" s="261">
        <v>2.31</v>
      </c>
      <c r="H221" s="65"/>
      <c r="I221" s="42"/>
      <c r="J221" s="43"/>
      <c r="K221" s="43"/>
      <c r="L221" s="43">
        <f t="shared" si="188"/>
        <v>23.853000000000005</v>
      </c>
      <c r="M221" s="43"/>
      <c r="N221" s="43"/>
      <c r="O221" s="43"/>
      <c r="P221" s="43"/>
      <c r="Q221" s="43"/>
    </row>
    <row r="222" spans="1:17" ht="15" customHeight="1" x14ac:dyDescent="0.25">
      <c r="A222" s="150">
        <v>7.01</v>
      </c>
      <c r="B222" s="262" t="s">
        <v>336</v>
      </c>
      <c r="C222" s="34">
        <f t="shared" si="111"/>
        <v>29.268000000000001</v>
      </c>
      <c r="D222" s="131">
        <v>10.84</v>
      </c>
      <c r="E222" s="17">
        <v>2.7</v>
      </c>
      <c r="F222" s="33">
        <v>1</v>
      </c>
      <c r="G222" s="261"/>
      <c r="H222" s="65"/>
      <c r="I222" s="42"/>
      <c r="J222" s="43"/>
      <c r="K222" s="43"/>
      <c r="L222" s="43">
        <f t="shared" si="188"/>
        <v>29.268000000000001</v>
      </c>
      <c r="M222" s="43"/>
      <c r="N222" s="43"/>
      <c r="O222" s="43"/>
      <c r="P222" s="43"/>
      <c r="Q222" s="43"/>
    </row>
    <row r="223" spans="1:17" ht="15" customHeight="1" x14ac:dyDescent="0.25">
      <c r="A223" s="150">
        <v>3.11</v>
      </c>
      <c r="B223" s="262" t="s">
        <v>158</v>
      </c>
      <c r="C223" s="34">
        <f t="shared" si="111"/>
        <v>19.4849</v>
      </c>
      <c r="D223" s="131">
        <v>7.19</v>
      </c>
      <c r="E223" s="17">
        <v>2.71</v>
      </c>
      <c r="F223" s="33">
        <v>1</v>
      </c>
      <c r="G223" s="261"/>
      <c r="H223" s="65"/>
      <c r="I223" s="42"/>
      <c r="J223" s="43"/>
      <c r="K223" s="43"/>
      <c r="L223" s="43"/>
      <c r="M223" s="43"/>
      <c r="N223" s="43"/>
      <c r="O223" s="43"/>
      <c r="P223" s="43"/>
      <c r="Q223" s="43">
        <f>C223</f>
        <v>19.4849</v>
      </c>
    </row>
    <row r="224" spans="1:17" ht="15" customHeight="1" x14ac:dyDescent="0.25">
      <c r="A224" s="219">
        <v>39.28</v>
      </c>
      <c r="B224" s="317" t="s">
        <v>337</v>
      </c>
      <c r="C224" s="34">
        <f t="shared" si="111"/>
        <v>36.002999999999993</v>
      </c>
      <c r="D224" s="131">
        <f>28.24-14.05</f>
        <v>14.189999999999998</v>
      </c>
      <c r="E224" s="17">
        <v>2.7</v>
      </c>
      <c r="F224" s="33">
        <v>1</v>
      </c>
      <c r="G224" s="261">
        <v>2.31</v>
      </c>
      <c r="H224" s="65"/>
      <c r="I224" s="42"/>
      <c r="J224" s="43"/>
      <c r="K224" s="43"/>
      <c r="L224" s="43">
        <f>C224</f>
        <v>36.002999999999993</v>
      </c>
      <c r="M224" s="43"/>
      <c r="N224" s="43"/>
      <c r="O224" s="43"/>
      <c r="P224" s="43"/>
      <c r="Q224" s="43"/>
    </row>
    <row r="225" spans="1:17" ht="15" customHeight="1" x14ac:dyDescent="0.25">
      <c r="A225" s="150"/>
      <c r="B225" s="262"/>
      <c r="C225" s="34">
        <f t="shared" si="111"/>
        <v>37.935000000000002</v>
      </c>
      <c r="D225" s="131">
        <v>14.05</v>
      </c>
      <c r="E225" s="17">
        <v>2.7</v>
      </c>
      <c r="F225" s="33">
        <v>1</v>
      </c>
      <c r="G225" s="261"/>
      <c r="H225" s="65">
        <f t="shared" ref="H225" si="189">C225</f>
        <v>37.935000000000002</v>
      </c>
      <c r="I225" s="42">
        <f t="shared" ref="I225" si="190">H225-J225</f>
        <v>37.935000000000002</v>
      </c>
      <c r="J225" s="43"/>
      <c r="K225" s="43"/>
      <c r="L225" s="43">
        <f t="shared" ref="L225" si="191">I225</f>
        <v>37.935000000000002</v>
      </c>
      <c r="M225" s="43"/>
      <c r="N225" s="43"/>
      <c r="O225" s="43"/>
      <c r="P225" s="43"/>
      <c r="Q225" s="43"/>
    </row>
    <row r="226" spans="1:17" ht="15" customHeight="1" x14ac:dyDescent="0.25">
      <c r="A226" s="219">
        <v>28.19</v>
      </c>
      <c r="B226" s="317" t="s">
        <v>338</v>
      </c>
      <c r="C226" s="34">
        <f t="shared" si="111"/>
        <v>50.22</v>
      </c>
      <c r="D226" s="131">
        <f>23.4-(1.31+3.49)</f>
        <v>18.599999999999998</v>
      </c>
      <c r="E226" s="17">
        <v>2.7</v>
      </c>
      <c r="F226" s="33">
        <v>1</v>
      </c>
      <c r="G226" s="261"/>
      <c r="H226" s="65"/>
      <c r="I226" s="42"/>
      <c r="J226" s="43"/>
      <c r="K226" s="43"/>
      <c r="L226" s="43">
        <f>C226</f>
        <v>50.22</v>
      </c>
      <c r="M226" s="43"/>
      <c r="N226" s="43"/>
      <c r="O226" s="43"/>
      <c r="P226" s="43"/>
      <c r="Q226" s="43"/>
    </row>
    <row r="227" spans="1:17" ht="15" customHeight="1" x14ac:dyDescent="0.25">
      <c r="A227" s="150"/>
      <c r="B227" s="262"/>
      <c r="C227" s="34">
        <f t="shared" si="111"/>
        <v>9.4230000000000018</v>
      </c>
      <c r="D227" s="131">
        <v>3.49</v>
      </c>
      <c r="E227" s="17">
        <v>2.7</v>
      </c>
      <c r="F227" s="33">
        <v>1</v>
      </c>
      <c r="G227" s="261"/>
      <c r="H227" s="65">
        <f t="shared" ref="H227" si="192">C227</f>
        <v>9.4230000000000018</v>
      </c>
      <c r="I227" s="42">
        <f t="shared" ref="I227" si="193">H227-J227</f>
        <v>9.4230000000000018</v>
      </c>
      <c r="J227" s="43"/>
      <c r="K227" s="43"/>
      <c r="L227" s="43">
        <f t="shared" ref="L227" si="194">I227</f>
        <v>9.4230000000000018</v>
      </c>
      <c r="M227" s="43"/>
      <c r="N227" s="43"/>
      <c r="O227" s="43"/>
      <c r="P227" s="43"/>
      <c r="Q227" s="43"/>
    </row>
    <row r="228" spans="1:17" ht="15" customHeight="1" x14ac:dyDescent="0.25">
      <c r="A228" s="219">
        <v>22.96</v>
      </c>
      <c r="B228" s="317" t="s">
        <v>339</v>
      </c>
      <c r="C228" s="34">
        <f t="shared" si="111"/>
        <v>36.207000000000001</v>
      </c>
      <c r="D228" s="131">
        <f>19.62-(2.2+4.01)</f>
        <v>13.41</v>
      </c>
      <c r="E228" s="17">
        <v>2.7</v>
      </c>
      <c r="F228" s="33">
        <v>1</v>
      </c>
      <c r="G228" s="261"/>
      <c r="H228" s="65"/>
      <c r="I228" s="42"/>
      <c r="J228" s="43"/>
      <c r="K228" s="43"/>
      <c r="L228" s="43">
        <f>C228</f>
        <v>36.207000000000001</v>
      </c>
      <c r="M228" s="43"/>
      <c r="N228" s="43"/>
      <c r="O228" s="43"/>
      <c r="P228" s="43"/>
      <c r="Q228" s="43"/>
    </row>
    <row r="229" spans="1:17" ht="15" customHeight="1" x14ac:dyDescent="0.25">
      <c r="A229" s="150"/>
      <c r="B229" s="262"/>
      <c r="C229" s="34">
        <f t="shared" si="111"/>
        <v>10.827</v>
      </c>
      <c r="D229" s="131">
        <v>4.01</v>
      </c>
      <c r="E229" s="17">
        <v>2.7</v>
      </c>
      <c r="F229" s="33">
        <v>1</v>
      </c>
      <c r="G229" s="261"/>
      <c r="H229" s="65">
        <f t="shared" ref="H229" si="195">C229</f>
        <v>10.827</v>
      </c>
      <c r="I229" s="42">
        <f t="shared" ref="I229" si="196">H229-J229</f>
        <v>10.827</v>
      </c>
      <c r="J229" s="43"/>
      <c r="K229" s="43"/>
      <c r="L229" s="43">
        <f t="shared" ref="L229" si="197">I229</f>
        <v>10.827</v>
      </c>
      <c r="M229" s="43"/>
      <c r="N229" s="43"/>
      <c r="O229" s="43"/>
      <c r="P229" s="43"/>
      <c r="Q229" s="43"/>
    </row>
    <row r="230" spans="1:17" ht="15" customHeight="1" x14ac:dyDescent="0.25">
      <c r="A230" s="219">
        <v>34.119999999999997</v>
      </c>
      <c r="B230" s="317" t="s">
        <v>340</v>
      </c>
      <c r="C230" s="34">
        <f t="shared" si="111"/>
        <v>33.966000000000001</v>
      </c>
      <c r="D230" s="131">
        <f>25.77-(1.3+11.89)</f>
        <v>12.579999999999998</v>
      </c>
      <c r="E230" s="17">
        <v>2.7</v>
      </c>
      <c r="F230" s="33">
        <v>1</v>
      </c>
      <c r="G230" s="261"/>
      <c r="H230" s="65"/>
      <c r="I230" s="42"/>
      <c r="J230" s="43"/>
      <c r="K230" s="43"/>
      <c r="L230" s="43">
        <f>C230</f>
        <v>33.966000000000001</v>
      </c>
      <c r="M230" s="43"/>
      <c r="N230" s="43"/>
      <c r="O230" s="43"/>
      <c r="P230" s="43"/>
      <c r="Q230" s="43"/>
    </row>
    <row r="231" spans="1:17" ht="15" customHeight="1" x14ac:dyDescent="0.25">
      <c r="A231" s="150"/>
      <c r="B231" s="262"/>
      <c r="C231" s="34">
        <f t="shared" si="111"/>
        <v>32.103000000000002</v>
      </c>
      <c r="D231" s="131">
        <v>11.89</v>
      </c>
      <c r="E231" s="17">
        <v>2.7</v>
      </c>
      <c r="F231" s="33">
        <v>1</v>
      </c>
      <c r="G231" s="261"/>
      <c r="H231" s="65">
        <f t="shared" ref="H231" si="198">C231</f>
        <v>32.103000000000002</v>
      </c>
      <c r="I231" s="42">
        <f t="shared" ref="I231" si="199">H231-J231</f>
        <v>32.103000000000002</v>
      </c>
      <c r="J231" s="43"/>
      <c r="K231" s="43"/>
      <c r="L231" s="43">
        <f t="shared" ref="L231" si="200">I231</f>
        <v>32.103000000000002</v>
      </c>
      <c r="M231" s="43"/>
      <c r="N231" s="43"/>
      <c r="O231" s="43"/>
      <c r="P231" s="43"/>
      <c r="Q231" s="43"/>
    </row>
    <row r="232" spans="1:17" ht="15" customHeight="1" x14ac:dyDescent="0.25">
      <c r="A232" s="150">
        <v>2.5299999999999998</v>
      </c>
      <c r="B232" s="262" t="s">
        <v>341</v>
      </c>
      <c r="C232" s="34">
        <f t="shared" si="111"/>
        <v>17.306999999999999</v>
      </c>
      <c r="D232" s="131">
        <f>10.62-4.21</f>
        <v>6.4099999999999993</v>
      </c>
      <c r="E232" s="17">
        <v>2.7</v>
      </c>
      <c r="F232" s="33">
        <v>1</v>
      </c>
      <c r="G232" s="261"/>
      <c r="H232" s="65"/>
      <c r="I232" s="42"/>
      <c r="J232" s="43"/>
      <c r="K232" s="43"/>
      <c r="L232" s="43">
        <f>C232</f>
        <v>17.306999999999999</v>
      </c>
      <c r="M232" s="43"/>
      <c r="N232" s="43"/>
      <c r="O232" s="43"/>
      <c r="P232" s="43"/>
      <c r="Q232" s="43"/>
    </row>
    <row r="233" spans="1:17" ht="15" customHeight="1" x14ac:dyDescent="0.25">
      <c r="A233" s="219">
        <v>20.89</v>
      </c>
      <c r="B233" s="317" t="s">
        <v>342</v>
      </c>
      <c r="C233" s="34">
        <f t="shared" si="111"/>
        <v>40.257000000000005</v>
      </c>
      <c r="D233" s="131">
        <f>19.57-(1.43+3.23)</f>
        <v>14.91</v>
      </c>
      <c r="E233" s="17">
        <v>2.7</v>
      </c>
      <c r="F233" s="33">
        <v>1</v>
      </c>
      <c r="G233" s="261"/>
      <c r="H233" s="65"/>
      <c r="I233" s="42"/>
      <c r="J233" s="43"/>
      <c r="K233" s="43"/>
      <c r="L233" s="43">
        <f>C233</f>
        <v>40.257000000000005</v>
      </c>
      <c r="M233" s="43"/>
      <c r="N233" s="43"/>
      <c r="O233" s="43"/>
      <c r="P233" s="43"/>
      <c r="Q233" s="43"/>
    </row>
    <row r="234" spans="1:17" ht="15" customHeight="1" x14ac:dyDescent="0.25">
      <c r="A234" s="150"/>
      <c r="B234" s="262"/>
      <c r="C234" s="34">
        <f t="shared" si="111"/>
        <v>8.7210000000000001</v>
      </c>
      <c r="D234" s="131">
        <v>3.23</v>
      </c>
      <c r="E234" s="17">
        <v>2.7</v>
      </c>
      <c r="F234" s="33">
        <v>1</v>
      </c>
      <c r="G234" s="261"/>
      <c r="H234" s="65">
        <f t="shared" ref="H234" si="201">C234</f>
        <v>8.7210000000000001</v>
      </c>
      <c r="I234" s="42">
        <f t="shared" ref="I234" si="202">H234-J234</f>
        <v>8.7210000000000001</v>
      </c>
      <c r="J234" s="43"/>
      <c r="K234" s="43"/>
      <c r="L234" s="43">
        <f t="shared" ref="L234" si="203">I234</f>
        <v>8.7210000000000001</v>
      </c>
      <c r="M234" s="43"/>
      <c r="N234" s="43"/>
      <c r="O234" s="43"/>
      <c r="P234" s="43"/>
      <c r="Q234" s="43"/>
    </row>
    <row r="235" spans="1:17" ht="15" customHeight="1" x14ac:dyDescent="0.25">
      <c r="A235" s="150">
        <v>5.17</v>
      </c>
      <c r="B235" s="262" t="s">
        <v>257</v>
      </c>
      <c r="C235" s="34">
        <f t="shared" si="111"/>
        <v>24.660999999999998</v>
      </c>
      <c r="D235" s="131">
        <v>9.1</v>
      </c>
      <c r="E235" s="17">
        <v>2.71</v>
      </c>
      <c r="F235" s="33">
        <v>1</v>
      </c>
      <c r="G235" s="261"/>
      <c r="H235" s="65"/>
      <c r="I235" s="42"/>
      <c r="J235" s="43"/>
      <c r="K235" s="43"/>
      <c r="L235" s="43"/>
      <c r="M235" s="43"/>
      <c r="N235" s="43"/>
      <c r="O235" s="43"/>
      <c r="P235" s="43"/>
      <c r="Q235" s="43">
        <f>C235</f>
        <v>24.660999999999998</v>
      </c>
    </row>
    <row r="236" spans="1:17" ht="15" customHeight="1" x14ac:dyDescent="0.25">
      <c r="A236" s="150">
        <v>8.6</v>
      </c>
      <c r="B236" s="262" t="s">
        <v>343</v>
      </c>
      <c r="C236" s="34">
        <f t="shared" si="111"/>
        <v>27.054000000000002</v>
      </c>
      <c r="D236" s="131">
        <f>12.22-2.2</f>
        <v>10.02</v>
      </c>
      <c r="E236" s="17">
        <v>2.7</v>
      </c>
      <c r="F236" s="33">
        <v>1</v>
      </c>
      <c r="G236" s="261"/>
      <c r="H236" s="65"/>
      <c r="I236" s="42"/>
      <c r="J236" s="43"/>
      <c r="K236" s="43"/>
      <c r="L236" s="43">
        <f>C236</f>
        <v>27.054000000000002</v>
      </c>
      <c r="M236" s="43"/>
      <c r="N236" s="43"/>
      <c r="O236" s="43"/>
      <c r="P236" s="43"/>
      <c r="Q236" s="43"/>
    </row>
    <row r="237" spans="1:17" ht="15" customHeight="1" x14ac:dyDescent="0.25">
      <c r="A237" s="150"/>
      <c r="B237" s="262"/>
      <c r="C237" s="34">
        <f t="shared" si="111"/>
        <v>5.9400000000000013</v>
      </c>
      <c r="D237" s="131">
        <v>2.2000000000000002</v>
      </c>
      <c r="E237" s="17">
        <v>2.7</v>
      </c>
      <c r="F237" s="33">
        <v>1</v>
      </c>
      <c r="G237" s="261"/>
      <c r="H237" s="65">
        <f t="shared" ref="H237" si="204">C237</f>
        <v>5.9400000000000013</v>
      </c>
      <c r="I237" s="42">
        <f t="shared" ref="I237" si="205">H237-J237</f>
        <v>5.9400000000000013</v>
      </c>
      <c r="J237" s="43"/>
      <c r="K237" s="43"/>
      <c r="L237" s="43">
        <f t="shared" ref="L237" si="206">I237</f>
        <v>5.9400000000000013</v>
      </c>
      <c r="M237" s="43"/>
      <c r="N237" s="43"/>
      <c r="O237" s="43"/>
      <c r="P237" s="43"/>
      <c r="Q237" s="43"/>
    </row>
    <row r="238" spans="1:17" ht="15" customHeight="1" x14ac:dyDescent="0.25">
      <c r="A238" s="219">
        <v>4.8600000000000003</v>
      </c>
      <c r="B238" s="317" t="s">
        <v>247</v>
      </c>
      <c r="C238" s="34">
        <f t="shared" ref="C238:C248" si="207">D238*E238*F238-G238</f>
        <v>19.629000000000001</v>
      </c>
      <c r="D238" s="131">
        <f>9.07-1.8</f>
        <v>7.2700000000000005</v>
      </c>
      <c r="E238" s="17">
        <v>2.7</v>
      </c>
      <c r="F238" s="33">
        <v>1</v>
      </c>
      <c r="G238" s="261"/>
      <c r="H238" s="65"/>
      <c r="I238" s="42"/>
      <c r="J238" s="43"/>
      <c r="K238" s="43"/>
      <c r="L238" s="43">
        <f>C238</f>
        <v>19.629000000000001</v>
      </c>
      <c r="M238" s="43"/>
      <c r="N238" s="43"/>
      <c r="O238" s="43"/>
      <c r="P238" s="43"/>
      <c r="Q238" s="43"/>
    </row>
    <row r="239" spans="1:17" ht="15" customHeight="1" x14ac:dyDescent="0.25">
      <c r="A239" s="150"/>
      <c r="B239" s="262"/>
      <c r="C239" s="34">
        <f t="shared" si="207"/>
        <v>4.8600000000000003</v>
      </c>
      <c r="D239" s="131">
        <v>1.8</v>
      </c>
      <c r="E239" s="17">
        <v>2.7</v>
      </c>
      <c r="F239" s="33">
        <v>1</v>
      </c>
      <c r="G239" s="261"/>
      <c r="H239" s="65">
        <f t="shared" ref="H239" si="208">C239</f>
        <v>4.8600000000000003</v>
      </c>
      <c r="I239" s="42">
        <f t="shared" ref="I239" si="209">H239-J239</f>
        <v>4.8600000000000003</v>
      </c>
      <c r="J239" s="43"/>
      <c r="K239" s="43"/>
      <c r="L239" s="43">
        <f t="shared" ref="L239" si="210">I239</f>
        <v>4.8600000000000003</v>
      </c>
      <c r="M239" s="43"/>
      <c r="N239" s="43"/>
      <c r="O239" s="43"/>
      <c r="P239" s="43"/>
      <c r="Q239" s="43"/>
    </row>
    <row r="240" spans="1:17" ht="15" customHeight="1" x14ac:dyDescent="0.25">
      <c r="A240" s="150">
        <v>4.4400000000000004</v>
      </c>
      <c r="B240" s="262" t="s">
        <v>168</v>
      </c>
      <c r="C240" s="34">
        <f t="shared" si="207"/>
        <v>20.910000000000007</v>
      </c>
      <c r="D240" s="131">
        <f>9.8-1.2</f>
        <v>8.6000000000000014</v>
      </c>
      <c r="E240" s="17">
        <v>2.7</v>
      </c>
      <c r="F240" s="33">
        <v>1</v>
      </c>
      <c r="G240" s="261">
        <v>2.31</v>
      </c>
      <c r="H240" s="65"/>
      <c r="I240" s="42"/>
      <c r="J240" s="43"/>
      <c r="K240" s="43"/>
      <c r="L240" s="43">
        <f>C240</f>
        <v>20.910000000000007</v>
      </c>
      <c r="M240" s="43"/>
      <c r="N240" s="43"/>
      <c r="O240" s="43"/>
      <c r="P240" s="43"/>
      <c r="Q240" s="43"/>
    </row>
    <row r="241" spans="1:18" ht="15" customHeight="1" x14ac:dyDescent="0.25">
      <c r="A241" s="150">
        <v>3.36</v>
      </c>
      <c r="B241" s="262" t="s">
        <v>344</v>
      </c>
      <c r="C241" s="34">
        <f t="shared" si="207"/>
        <v>20.115000000000002</v>
      </c>
      <c r="D241" s="131">
        <v>7.45</v>
      </c>
      <c r="E241" s="17">
        <v>2.7</v>
      </c>
      <c r="F241" s="33">
        <v>1</v>
      </c>
      <c r="G241" s="261"/>
      <c r="H241" s="65"/>
      <c r="I241" s="42"/>
      <c r="J241" s="43"/>
      <c r="K241" s="43"/>
      <c r="L241" s="43">
        <f>C241</f>
        <v>20.115000000000002</v>
      </c>
      <c r="M241" s="43"/>
      <c r="N241" s="43"/>
      <c r="O241" s="43"/>
      <c r="P241" s="43"/>
      <c r="Q241" s="43"/>
    </row>
    <row r="242" spans="1:18" ht="15" customHeight="1" x14ac:dyDescent="0.25">
      <c r="A242" s="219">
        <v>12.9</v>
      </c>
      <c r="B242" s="317" t="s">
        <v>614</v>
      </c>
      <c r="C242" s="34">
        <f t="shared" si="207"/>
        <v>30.954000000000004</v>
      </c>
      <c r="D242" s="131">
        <f>15.32-3</f>
        <v>12.32</v>
      </c>
      <c r="E242" s="17">
        <v>2.7</v>
      </c>
      <c r="F242" s="33">
        <v>1</v>
      </c>
      <c r="G242" s="261">
        <v>2.31</v>
      </c>
      <c r="H242" s="65"/>
      <c r="I242" s="42"/>
      <c r="J242" s="43"/>
      <c r="K242" s="43"/>
      <c r="L242" s="43">
        <f>C242</f>
        <v>30.954000000000004</v>
      </c>
      <c r="M242" s="43"/>
      <c r="N242" s="43"/>
      <c r="O242" s="43"/>
      <c r="P242" s="43"/>
      <c r="Q242" s="43"/>
    </row>
    <row r="243" spans="1:18" ht="15" customHeight="1" x14ac:dyDescent="0.25">
      <c r="A243" s="150"/>
      <c r="B243" s="262"/>
      <c r="C243" s="34">
        <f t="shared" si="207"/>
        <v>8.1000000000000014</v>
      </c>
      <c r="D243" s="131">
        <v>3</v>
      </c>
      <c r="E243" s="17">
        <v>2.7</v>
      </c>
      <c r="F243" s="33">
        <v>1</v>
      </c>
      <c r="G243" s="261"/>
      <c r="H243" s="65">
        <f t="shared" ref="H243" si="211">C243</f>
        <v>8.1000000000000014</v>
      </c>
      <c r="I243" s="42">
        <f t="shared" ref="I243" si="212">H243-J243</f>
        <v>8.1000000000000014</v>
      </c>
      <c r="J243" s="43"/>
      <c r="K243" s="43"/>
      <c r="L243" s="43">
        <f t="shared" ref="L243" si="213">I243</f>
        <v>8.1000000000000014</v>
      </c>
      <c r="M243" s="43"/>
      <c r="N243" s="43"/>
      <c r="O243" s="43"/>
      <c r="P243" s="43"/>
      <c r="Q243" s="43"/>
    </row>
    <row r="244" spans="1:18" ht="15" customHeight="1" x14ac:dyDescent="0.25">
      <c r="A244" s="219">
        <v>4.54</v>
      </c>
      <c r="B244" s="317" t="s">
        <v>205</v>
      </c>
      <c r="C244" s="34">
        <f t="shared" si="207"/>
        <v>15.618000000000004</v>
      </c>
      <c r="D244" s="131">
        <f>8.57-1.93</f>
        <v>6.6400000000000006</v>
      </c>
      <c r="E244" s="17">
        <v>2.7</v>
      </c>
      <c r="F244" s="33">
        <v>1</v>
      </c>
      <c r="G244" s="261">
        <v>2.31</v>
      </c>
      <c r="H244" s="65"/>
      <c r="I244" s="42"/>
      <c r="J244" s="43"/>
      <c r="K244" s="43"/>
      <c r="L244" s="43">
        <f>C244</f>
        <v>15.618000000000004</v>
      </c>
      <c r="M244" s="43"/>
      <c r="N244" s="43"/>
      <c r="O244" s="43"/>
      <c r="P244" s="43"/>
      <c r="Q244" s="43"/>
    </row>
    <row r="245" spans="1:18" ht="15" customHeight="1" x14ac:dyDescent="0.25">
      <c r="A245" s="150">
        <v>8.2799999999999994</v>
      </c>
      <c r="B245" s="277" t="s">
        <v>612</v>
      </c>
      <c r="C245" s="34">
        <f t="shared" si="207"/>
        <v>28.087900000000001</v>
      </c>
      <c r="D245" s="131">
        <f>11.52-2.81</f>
        <v>8.7099999999999991</v>
      </c>
      <c r="E245" s="17">
        <v>3.49</v>
      </c>
      <c r="F245" s="33">
        <v>1</v>
      </c>
      <c r="G245" s="261">
        <v>2.31</v>
      </c>
      <c r="H245" s="65"/>
      <c r="I245" s="42"/>
      <c r="J245" s="43"/>
      <c r="K245" s="43"/>
      <c r="L245" s="43"/>
      <c r="M245" s="43">
        <f>C245</f>
        <v>28.087900000000001</v>
      </c>
      <c r="N245" s="43"/>
      <c r="O245" s="43"/>
      <c r="P245" s="43"/>
      <c r="Q245" s="43"/>
    </row>
    <row r="246" spans="1:18" ht="15" customHeight="1" x14ac:dyDescent="0.25">
      <c r="A246" s="150"/>
      <c r="B246" s="277"/>
      <c r="C246" s="34">
        <f t="shared" si="207"/>
        <v>9.8069000000000006</v>
      </c>
      <c r="D246" s="131">
        <v>2.81</v>
      </c>
      <c r="E246" s="17">
        <v>3.49</v>
      </c>
      <c r="F246" s="33">
        <v>1</v>
      </c>
      <c r="G246" s="261"/>
      <c r="H246" s="65">
        <f t="shared" ref="H246" si="214">C246</f>
        <v>9.8069000000000006</v>
      </c>
      <c r="I246" s="42">
        <f t="shared" ref="I246" si="215">H246-J246</f>
        <v>9.8069000000000006</v>
      </c>
      <c r="J246" s="43"/>
      <c r="K246" s="43"/>
      <c r="L246" s="43"/>
      <c r="M246" s="43">
        <f>I246</f>
        <v>9.8069000000000006</v>
      </c>
      <c r="N246" s="43"/>
      <c r="O246" s="43"/>
      <c r="P246" s="43"/>
      <c r="Q246" s="43"/>
    </row>
    <row r="247" spans="1:18" ht="15" customHeight="1" x14ac:dyDescent="0.25">
      <c r="A247" s="150">
        <v>8.27</v>
      </c>
      <c r="B247" s="277" t="s">
        <v>613</v>
      </c>
      <c r="C247" s="34">
        <f t="shared" si="207"/>
        <v>17.757500000000004</v>
      </c>
      <c r="D247" s="131">
        <f>11.51-5.76</f>
        <v>5.75</v>
      </c>
      <c r="E247" s="17">
        <v>3.49</v>
      </c>
      <c r="F247" s="33">
        <v>1</v>
      </c>
      <c r="G247" s="261">
        <v>2.31</v>
      </c>
      <c r="H247" s="484"/>
      <c r="I247" s="42"/>
      <c r="J247" s="43"/>
      <c r="K247" s="43"/>
      <c r="L247" s="43"/>
      <c r="M247" s="43">
        <f>C247</f>
        <v>17.757500000000004</v>
      </c>
      <c r="N247" s="43"/>
      <c r="O247" s="43"/>
      <c r="P247" s="43"/>
      <c r="Q247" s="43"/>
    </row>
    <row r="248" spans="1:18" ht="15" customHeight="1" x14ac:dyDescent="0.25">
      <c r="A248" s="150"/>
      <c r="B248" s="277"/>
      <c r="C248" s="34">
        <f t="shared" si="207"/>
        <v>20.102399999999999</v>
      </c>
      <c r="D248" s="131">
        <v>5.76</v>
      </c>
      <c r="E248" s="17">
        <v>3.49</v>
      </c>
      <c r="F248" s="33">
        <v>1</v>
      </c>
      <c r="G248" s="261"/>
      <c r="H248" s="65">
        <f t="shared" ref="H248" si="216">C248</f>
        <v>20.102399999999999</v>
      </c>
      <c r="I248" s="42">
        <f t="shared" ref="I248" si="217">H248-J248</f>
        <v>20.102399999999999</v>
      </c>
      <c r="J248" s="43"/>
      <c r="K248" s="43"/>
      <c r="L248" s="43"/>
      <c r="M248" s="43">
        <f>I248</f>
        <v>20.102399999999999</v>
      </c>
      <c r="N248" s="43"/>
      <c r="O248" s="43"/>
      <c r="P248" s="43"/>
      <c r="Q248" s="43"/>
    </row>
    <row r="249" spans="1:18" ht="19.95" customHeight="1" x14ac:dyDescent="0.25">
      <c r="A249" s="151"/>
      <c r="B249" s="256" t="s">
        <v>22</v>
      </c>
      <c r="C249" s="255">
        <f>SUM(C131:C248)</f>
        <v>2829.5098000000003</v>
      </c>
      <c r="D249" s="255"/>
      <c r="E249" s="255"/>
      <c r="F249" s="255"/>
      <c r="G249" s="255"/>
      <c r="H249" s="255">
        <f t="shared" ref="H249:Q249" si="218">SUM(H131:H248)</f>
        <v>728.24970000000019</v>
      </c>
      <c r="I249" s="255">
        <f t="shared" si="218"/>
        <v>693.10100000000023</v>
      </c>
      <c r="J249" s="255">
        <f t="shared" si="218"/>
        <v>35.148700000000005</v>
      </c>
      <c r="K249" s="255">
        <f t="shared" si="218"/>
        <v>0</v>
      </c>
      <c r="L249" s="255">
        <f t="shared" si="218"/>
        <v>2407.5450000000005</v>
      </c>
      <c r="M249" s="255">
        <f t="shared" si="218"/>
        <v>174.65020000000001</v>
      </c>
      <c r="N249" s="255">
        <f t="shared" si="218"/>
        <v>0</v>
      </c>
      <c r="O249" s="255">
        <f t="shared" si="218"/>
        <v>0</v>
      </c>
      <c r="P249" s="255">
        <f t="shared" si="218"/>
        <v>165.22869999999998</v>
      </c>
      <c r="Q249" s="255">
        <f t="shared" si="218"/>
        <v>82.085899999999995</v>
      </c>
      <c r="R249" s="1"/>
    </row>
    <row r="250" spans="1:18" ht="19.95" customHeight="1" x14ac:dyDescent="0.25">
      <c r="A250" s="151"/>
      <c r="B250" s="257"/>
      <c r="C250" s="127"/>
      <c r="D250" s="127"/>
      <c r="E250" s="127"/>
      <c r="F250" s="127"/>
      <c r="G250" s="127"/>
      <c r="H250" s="127"/>
      <c r="I250" s="127"/>
      <c r="J250" s="127"/>
      <c r="K250" s="127"/>
      <c r="L250" s="258">
        <v>1</v>
      </c>
      <c r="M250" s="258">
        <v>4</v>
      </c>
      <c r="N250" s="258">
        <v>5</v>
      </c>
      <c r="O250" s="258">
        <v>6</v>
      </c>
      <c r="P250" s="258">
        <v>3</v>
      </c>
      <c r="Q250" s="259">
        <v>2</v>
      </c>
    </row>
    <row r="251" spans="1:18" ht="40.049999999999997" customHeight="1" x14ac:dyDescent="0.25">
      <c r="B251" s="843" t="s">
        <v>16</v>
      </c>
      <c r="C251" s="839" t="s">
        <v>17</v>
      </c>
      <c r="D251" s="839" t="s">
        <v>18</v>
      </c>
      <c r="E251" s="839" t="s">
        <v>28</v>
      </c>
      <c r="F251" s="842" t="s">
        <v>19</v>
      </c>
      <c r="G251" s="842" t="s">
        <v>13</v>
      </c>
      <c r="H251" s="842" t="s">
        <v>24</v>
      </c>
      <c r="I251" s="842" t="s">
        <v>45</v>
      </c>
      <c r="J251" s="842" t="s">
        <v>26</v>
      </c>
      <c r="K251" s="844" t="s">
        <v>864</v>
      </c>
      <c r="L251" s="842" t="s">
        <v>69</v>
      </c>
      <c r="M251" s="842" t="s">
        <v>73</v>
      </c>
      <c r="N251" s="842" t="s">
        <v>76</v>
      </c>
      <c r="O251" s="842" t="s">
        <v>77</v>
      </c>
      <c r="P251" s="842" t="s">
        <v>72</v>
      </c>
      <c r="Q251" s="842" t="s">
        <v>70</v>
      </c>
    </row>
    <row r="252" spans="1:18" ht="40.049999999999997" customHeight="1" x14ac:dyDescent="0.25">
      <c r="B252" s="840"/>
      <c r="C252" s="841"/>
      <c r="D252" s="841"/>
      <c r="E252" s="841"/>
      <c r="F252" s="839"/>
      <c r="G252" s="839"/>
      <c r="H252" s="839"/>
      <c r="I252" s="839"/>
      <c r="J252" s="839"/>
      <c r="K252" s="845"/>
      <c r="L252" s="839"/>
      <c r="M252" s="839"/>
      <c r="N252" s="839"/>
      <c r="O252" s="839"/>
      <c r="P252" s="839"/>
      <c r="Q252" s="839"/>
    </row>
    <row r="253" spans="1:18" ht="15.6" x14ac:dyDescent="0.25">
      <c r="A253" s="141" t="s">
        <v>64</v>
      </c>
      <c r="B253" s="59" t="s">
        <v>59</v>
      </c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1"/>
    </row>
    <row r="254" spans="1:18" ht="15.6" x14ac:dyDescent="0.25">
      <c r="A254" s="560">
        <v>11.67</v>
      </c>
      <c r="B254" s="220" t="s">
        <v>168</v>
      </c>
      <c r="C254" s="34">
        <f t="shared" ref="C254:C263" si="219">D254*E254*F254-G254</f>
        <v>27.783000000000001</v>
      </c>
      <c r="D254" s="576">
        <f>14.83-4.54</f>
        <v>10.29</v>
      </c>
      <c r="E254" s="578">
        <v>2.7</v>
      </c>
      <c r="F254" s="33">
        <v>1</v>
      </c>
      <c r="G254" s="598"/>
      <c r="H254" s="65">
        <f t="shared" ref="H254" si="220">C254</f>
        <v>27.783000000000001</v>
      </c>
      <c r="I254" s="42">
        <f t="shared" ref="I254" si="221">H254-J254</f>
        <v>27.783000000000001</v>
      </c>
      <c r="J254" s="43"/>
      <c r="K254" s="43"/>
      <c r="L254" s="43">
        <f>I254</f>
        <v>27.783000000000001</v>
      </c>
      <c r="M254" s="598"/>
      <c r="N254" s="598"/>
      <c r="O254" s="598"/>
      <c r="P254" s="598"/>
      <c r="Q254" s="598"/>
    </row>
    <row r="255" spans="1:18" ht="15.6" x14ac:dyDescent="0.25">
      <c r="A255" s="559"/>
      <c r="B255" s="157"/>
      <c r="C255" s="34">
        <f t="shared" si="219"/>
        <v>12.258000000000001</v>
      </c>
      <c r="D255" s="576">
        <v>4.54</v>
      </c>
      <c r="E255" s="578">
        <v>2.7</v>
      </c>
      <c r="F255" s="33">
        <v>1</v>
      </c>
      <c r="G255" s="598"/>
      <c r="H255" s="65"/>
      <c r="I255" s="42"/>
      <c r="J255" s="43"/>
      <c r="K255" s="43"/>
      <c r="L255" s="43">
        <f>C255</f>
        <v>12.258000000000001</v>
      </c>
      <c r="M255" s="598"/>
      <c r="N255" s="598"/>
      <c r="O255" s="598"/>
      <c r="P255" s="598"/>
      <c r="Q255" s="598"/>
    </row>
    <row r="256" spans="1:18" ht="15.6" x14ac:dyDescent="0.25">
      <c r="A256" s="560">
        <v>30.52</v>
      </c>
      <c r="B256" s="220" t="s">
        <v>258</v>
      </c>
      <c r="C256" s="34">
        <f t="shared" si="219"/>
        <v>70.119</v>
      </c>
      <c r="D256" s="576">
        <f>28.24-2.27</f>
        <v>25.97</v>
      </c>
      <c r="E256" s="578">
        <v>2.7</v>
      </c>
      <c r="F256" s="33">
        <v>1</v>
      </c>
      <c r="G256" s="598"/>
      <c r="H256" s="65">
        <f t="shared" ref="H256" si="222">C256</f>
        <v>70.119</v>
      </c>
      <c r="I256" s="42">
        <f t="shared" ref="I256" si="223">H256-J256</f>
        <v>70.119</v>
      </c>
      <c r="J256" s="43"/>
      <c r="K256" s="43"/>
      <c r="L256" s="43">
        <f>I256</f>
        <v>70.119</v>
      </c>
      <c r="M256" s="598"/>
      <c r="N256" s="598"/>
      <c r="O256" s="598"/>
      <c r="P256" s="598"/>
      <c r="Q256" s="598"/>
    </row>
    <row r="257" spans="1:17" ht="15.6" x14ac:dyDescent="0.25">
      <c r="A257" s="559"/>
      <c r="B257" s="157"/>
      <c r="C257" s="34">
        <f t="shared" si="219"/>
        <v>6.1290000000000004</v>
      </c>
      <c r="D257" s="576">
        <v>2.27</v>
      </c>
      <c r="E257" s="578">
        <v>2.7</v>
      </c>
      <c r="F257" s="33">
        <v>1</v>
      </c>
      <c r="G257" s="598"/>
      <c r="H257" s="65"/>
      <c r="I257" s="42"/>
      <c r="J257" s="43"/>
      <c r="K257" s="43"/>
      <c r="L257" s="43">
        <f>C257</f>
        <v>6.1290000000000004</v>
      </c>
      <c r="M257" s="598"/>
      <c r="N257" s="598"/>
      <c r="O257" s="598"/>
      <c r="P257" s="598"/>
      <c r="Q257" s="598"/>
    </row>
    <row r="258" spans="1:17" ht="15.6" x14ac:dyDescent="0.25">
      <c r="A258" s="559">
        <v>43.48</v>
      </c>
      <c r="B258" s="157" t="s">
        <v>346</v>
      </c>
      <c r="C258" s="34">
        <f t="shared" si="219"/>
        <v>94.69</v>
      </c>
      <c r="D258" s="576">
        <v>27.85</v>
      </c>
      <c r="E258" s="578">
        <v>3.4</v>
      </c>
      <c r="F258" s="33">
        <v>1</v>
      </c>
      <c r="G258" s="598"/>
      <c r="H258" s="65">
        <f t="shared" ref="H258" si="224">C258</f>
        <v>94.69</v>
      </c>
      <c r="I258" s="42">
        <f t="shared" ref="I258" si="225">H258-J258</f>
        <v>94.69</v>
      </c>
      <c r="J258" s="598"/>
      <c r="K258" s="598"/>
      <c r="L258" s="598"/>
      <c r="M258" s="578">
        <f>I258</f>
        <v>94.69</v>
      </c>
      <c r="N258" s="598"/>
      <c r="O258" s="598"/>
      <c r="P258" s="598"/>
      <c r="Q258" s="598"/>
    </row>
    <row r="259" spans="1:17" ht="15.6" x14ac:dyDescent="0.25">
      <c r="A259" s="559">
        <v>7.45</v>
      </c>
      <c r="B259" s="157" t="s">
        <v>724</v>
      </c>
      <c r="C259" s="34">
        <f t="shared" si="219"/>
        <v>37.708500000000001</v>
      </c>
      <c r="D259" s="576">
        <v>10.93</v>
      </c>
      <c r="E259" s="578">
        <v>3.45</v>
      </c>
      <c r="F259" s="33">
        <v>1</v>
      </c>
      <c r="G259" s="598"/>
      <c r="H259" s="598"/>
      <c r="I259" s="598"/>
      <c r="J259" s="598"/>
      <c r="K259" s="598"/>
      <c r="L259" s="598"/>
      <c r="M259" s="598"/>
      <c r="N259" s="598"/>
      <c r="O259" s="598"/>
      <c r="P259" s="598"/>
      <c r="Q259" s="598"/>
    </row>
    <row r="260" spans="1:17" ht="15.6" x14ac:dyDescent="0.25">
      <c r="A260" s="559">
        <v>8.23</v>
      </c>
      <c r="B260" s="157" t="s">
        <v>725</v>
      </c>
      <c r="C260" s="34">
        <f t="shared" si="219"/>
        <v>39.882000000000005</v>
      </c>
      <c r="D260" s="576">
        <v>11.56</v>
      </c>
      <c r="E260" s="578">
        <v>3.45</v>
      </c>
      <c r="F260" s="33">
        <v>1</v>
      </c>
      <c r="G260" s="598"/>
      <c r="H260" s="598"/>
      <c r="I260" s="598"/>
      <c r="J260" s="598"/>
      <c r="K260" s="598"/>
      <c r="L260" s="598"/>
      <c r="M260" s="598"/>
      <c r="N260" s="598"/>
      <c r="O260" s="598"/>
      <c r="P260" s="598"/>
      <c r="Q260" s="598"/>
    </row>
    <row r="261" spans="1:17" ht="15.6" x14ac:dyDescent="0.25">
      <c r="A261" s="563">
        <v>3.9</v>
      </c>
      <c r="B261" s="157" t="s">
        <v>726</v>
      </c>
      <c r="C261" s="34">
        <f t="shared" si="219"/>
        <v>28.738500000000002</v>
      </c>
      <c r="D261" s="576">
        <v>8.33</v>
      </c>
      <c r="E261" s="578">
        <v>3.45</v>
      </c>
      <c r="F261" s="33">
        <v>1</v>
      </c>
      <c r="G261" s="598"/>
      <c r="H261" s="65">
        <f t="shared" ref="H261:H263" si="226">C261</f>
        <v>28.738500000000002</v>
      </c>
      <c r="I261" s="42">
        <f t="shared" ref="I261:I263" si="227">H261-J261</f>
        <v>28.738500000000002</v>
      </c>
      <c r="J261" s="598"/>
      <c r="K261" s="598"/>
      <c r="L261" s="598"/>
      <c r="M261" s="598"/>
      <c r="N261" s="598"/>
      <c r="O261" s="598"/>
      <c r="P261" s="598"/>
      <c r="Q261" s="598"/>
    </row>
    <row r="262" spans="1:17" ht="15.6" x14ac:dyDescent="0.25">
      <c r="A262" s="563">
        <v>3.28</v>
      </c>
      <c r="B262" s="157" t="s">
        <v>229</v>
      </c>
      <c r="C262" s="34">
        <f t="shared" si="219"/>
        <v>53.475000000000001</v>
      </c>
      <c r="D262" s="578">
        <v>15.5</v>
      </c>
      <c r="E262" s="578">
        <v>3.45</v>
      </c>
      <c r="F262" s="33">
        <v>1</v>
      </c>
      <c r="G262" s="598"/>
      <c r="H262" s="65">
        <f t="shared" si="226"/>
        <v>53.475000000000001</v>
      </c>
      <c r="I262" s="42">
        <f t="shared" si="227"/>
        <v>53.475000000000001</v>
      </c>
      <c r="J262" s="598"/>
      <c r="K262" s="598"/>
      <c r="L262" s="598"/>
      <c r="M262" s="598"/>
      <c r="N262" s="598"/>
      <c r="O262" s="598"/>
      <c r="P262" s="598"/>
      <c r="Q262" s="598"/>
    </row>
    <row r="263" spans="1:17" ht="15.6" x14ac:dyDescent="0.25">
      <c r="A263" s="563">
        <v>0.56000000000000005</v>
      </c>
      <c r="B263" s="157" t="s">
        <v>229</v>
      </c>
      <c r="C263" s="34">
        <f t="shared" si="219"/>
        <v>17.560500000000001</v>
      </c>
      <c r="D263" s="576">
        <v>5.09</v>
      </c>
      <c r="E263" s="578">
        <v>3.45</v>
      </c>
      <c r="F263" s="33">
        <v>1</v>
      </c>
      <c r="G263" s="598"/>
      <c r="H263" s="65">
        <f t="shared" si="226"/>
        <v>17.560500000000001</v>
      </c>
      <c r="I263" s="42">
        <f t="shared" si="227"/>
        <v>17.560500000000001</v>
      </c>
      <c r="J263" s="598"/>
      <c r="K263" s="598"/>
      <c r="L263" s="598"/>
      <c r="M263" s="598"/>
      <c r="N263" s="598"/>
      <c r="O263" s="598"/>
      <c r="P263" s="598"/>
      <c r="Q263" s="598"/>
    </row>
    <row r="264" spans="1:17" ht="14.4" x14ac:dyDescent="0.25">
      <c r="A264" s="219">
        <v>58.2</v>
      </c>
      <c r="B264" s="220" t="s">
        <v>168</v>
      </c>
      <c r="C264" s="34">
        <f t="shared" ref="C264:C343" si="228">D264*E264*F264-G264</f>
        <v>69.914999999999992</v>
      </c>
      <c r="D264" s="131">
        <f>64.72-(6.99+29.58)</f>
        <v>28.15</v>
      </c>
      <c r="E264" s="17">
        <v>2.7</v>
      </c>
      <c r="F264" s="33">
        <v>1</v>
      </c>
      <c r="G264" s="45">
        <v>6.09</v>
      </c>
      <c r="H264" s="65"/>
      <c r="I264" s="42"/>
      <c r="J264" s="43"/>
      <c r="K264" s="43"/>
      <c r="L264" s="43">
        <f>C264</f>
        <v>69.914999999999992</v>
      </c>
      <c r="M264" s="43"/>
      <c r="N264" s="43"/>
      <c r="O264" s="43"/>
      <c r="P264" s="43"/>
      <c r="Q264" s="43"/>
    </row>
    <row r="265" spans="1:17" ht="14.4" x14ac:dyDescent="0.25">
      <c r="A265" s="150"/>
      <c r="B265" s="157"/>
      <c r="C265" s="34">
        <f t="shared" si="228"/>
        <v>79.866</v>
      </c>
      <c r="D265" s="131">
        <v>29.58</v>
      </c>
      <c r="E265" s="17">
        <v>2.7</v>
      </c>
      <c r="F265" s="33">
        <v>1</v>
      </c>
      <c r="G265" s="45"/>
      <c r="H265" s="65">
        <f t="shared" ref="H265" si="229">C265</f>
        <v>79.866</v>
      </c>
      <c r="I265" s="42">
        <f t="shared" ref="I265" si="230">H265-J265</f>
        <v>79.866</v>
      </c>
      <c r="J265" s="43"/>
      <c r="K265" s="43"/>
      <c r="L265" s="43">
        <f>I265</f>
        <v>79.866</v>
      </c>
      <c r="M265" s="43"/>
      <c r="N265" s="43"/>
      <c r="O265" s="43"/>
      <c r="P265" s="43"/>
      <c r="Q265" s="43"/>
    </row>
    <row r="266" spans="1:17" ht="14.4" x14ac:dyDescent="0.25">
      <c r="A266" s="219">
        <v>26.54</v>
      </c>
      <c r="B266" s="220" t="s">
        <v>168</v>
      </c>
      <c r="C266" s="34">
        <f t="shared" si="228"/>
        <v>39.747000000000007</v>
      </c>
      <c r="D266" s="131">
        <f>31.36-(1.84+12.31)</f>
        <v>17.21</v>
      </c>
      <c r="E266" s="17">
        <v>2.7</v>
      </c>
      <c r="F266" s="33">
        <v>1</v>
      </c>
      <c r="G266" s="45">
        <v>6.72</v>
      </c>
      <c r="H266" s="65"/>
      <c r="I266" s="42"/>
      <c r="J266" s="43"/>
      <c r="K266" s="43"/>
      <c r="L266" s="43">
        <f>C266</f>
        <v>39.747000000000007</v>
      </c>
      <c r="M266" s="43"/>
      <c r="N266" s="43"/>
      <c r="O266" s="43"/>
      <c r="P266" s="43"/>
      <c r="Q266" s="43"/>
    </row>
    <row r="267" spans="1:17" ht="14.4" x14ac:dyDescent="0.25">
      <c r="A267" s="150"/>
      <c r="B267" s="157"/>
      <c r="C267" s="34">
        <f t="shared" si="228"/>
        <v>33.237000000000002</v>
      </c>
      <c r="D267" s="131">
        <v>12.31</v>
      </c>
      <c r="E267" s="17">
        <v>2.7</v>
      </c>
      <c r="F267" s="33">
        <v>1</v>
      </c>
      <c r="G267" s="45"/>
      <c r="H267" s="65">
        <f t="shared" ref="H267" si="231">C267</f>
        <v>33.237000000000002</v>
      </c>
      <c r="I267" s="42">
        <f t="shared" ref="I267" si="232">H267-J267</f>
        <v>33.237000000000002</v>
      </c>
      <c r="J267" s="43"/>
      <c r="K267" s="43"/>
      <c r="L267" s="43">
        <f t="shared" ref="L267" si="233">I267</f>
        <v>33.237000000000002</v>
      </c>
      <c r="M267" s="43"/>
      <c r="N267" s="43"/>
      <c r="O267" s="43"/>
      <c r="P267" s="43"/>
      <c r="Q267" s="43"/>
    </row>
    <row r="268" spans="1:17" ht="14.4" x14ac:dyDescent="0.25">
      <c r="A268" s="150">
        <v>2.0699999999999998</v>
      </c>
      <c r="B268" s="15" t="s">
        <v>227</v>
      </c>
      <c r="C268" s="34">
        <f t="shared" si="228"/>
        <v>11.759599999999999</v>
      </c>
      <c r="D268" s="131">
        <v>5.76</v>
      </c>
      <c r="E268" s="17">
        <v>2.71</v>
      </c>
      <c r="F268" s="33">
        <v>1</v>
      </c>
      <c r="G268" s="45">
        <v>3.85</v>
      </c>
      <c r="H268" s="65"/>
      <c r="I268" s="42"/>
      <c r="J268" s="43"/>
      <c r="K268" s="43"/>
      <c r="L268" s="43"/>
      <c r="M268" s="43"/>
      <c r="N268" s="43"/>
      <c r="O268" s="43"/>
      <c r="P268" s="43">
        <f>C268</f>
        <v>11.759599999999999</v>
      </c>
      <c r="Q268" s="43"/>
    </row>
    <row r="269" spans="1:17" ht="14.4" x14ac:dyDescent="0.25">
      <c r="A269" s="150"/>
      <c r="B269" s="15"/>
      <c r="C269" s="34">
        <f t="shared" si="228"/>
        <v>3.7939999999999996</v>
      </c>
      <c r="D269" s="131">
        <v>1.4</v>
      </c>
      <c r="E269" s="17">
        <v>2.71</v>
      </c>
      <c r="F269" s="33">
        <v>1</v>
      </c>
      <c r="G269" s="45"/>
      <c r="H269" s="65">
        <f t="shared" ref="H269" si="234">C269</f>
        <v>3.7939999999999996</v>
      </c>
      <c r="I269" s="42"/>
      <c r="J269" s="43">
        <f>H269-I269</f>
        <v>3.7939999999999996</v>
      </c>
      <c r="K269" s="43"/>
      <c r="L269" s="43"/>
      <c r="M269" s="43"/>
      <c r="N269" s="43"/>
      <c r="O269" s="43"/>
      <c r="P269" s="43">
        <f>J269</f>
        <v>3.7939999999999996</v>
      </c>
      <c r="Q269" s="43"/>
    </row>
    <row r="270" spans="1:17" ht="14.4" x14ac:dyDescent="0.25">
      <c r="A270" s="150">
        <v>2.0699999999999998</v>
      </c>
      <c r="B270" s="15" t="s">
        <v>230</v>
      </c>
      <c r="C270" s="34">
        <f t="shared" si="228"/>
        <v>15.609599999999999</v>
      </c>
      <c r="D270" s="131">
        <v>5.76</v>
      </c>
      <c r="E270" s="17">
        <v>2.71</v>
      </c>
      <c r="F270" s="33">
        <v>1</v>
      </c>
      <c r="G270" s="45"/>
      <c r="H270" s="65"/>
      <c r="I270" s="42"/>
      <c r="J270" s="43"/>
      <c r="K270" s="43"/>
      <c r="L270" s="43"/>
      <c r="M270" s="43"/>
      <c r="N270" s="43"/>
      <c r="O270" s="43"/>
      <c r="P270" s="43">
        <f>C270</f>
        <v>15.609599999999999</v>
      </c>
      <c r="Q270" s="43"/>
    </row>
    <row r="271" spans="1:17" ht="14.4" x14ac:dyDescent="0.25">
      <c r="A271" s="150"/>
      <c r="B271" s="15"/>
      <c r="C271" s="34">
        <f t="shared" si="228"/>
        <v>3.7939999999999996</v>
      </c>
      <c r="D271" s="131">
        <v>1.4</v>
      </c>
      <c r="E271" s="17">
        <v>2.71</v>
      </c>
      <c r="F271" s="33">
        <v>1</v>
      </c>
      <c r="G271" s="45"/>
      <c r="H271" s="65">
        <f t="shared" ref="H271" si="235">C271</f>
        <v>3.7939999999999996</v>
      </c>
      <c r="I271" s="42"/>
      <c r="J271" s="43">
        <f t="shared" ref="J271" si="236">H271-I271</f>
        <v>3.7939999999999996</v>
      </c>
      <c r="K271" s="43"/>
      <c r="L271" s="43"/>
      <c r="M271" s="43"/>
      <c r="N271" s="43"/>
      <c r="O271" s="43"/>
      <c r="P271" s="43">
        <f t="shared" ref="P271" si="237">J271</f>
        <v>3.7939999999999996</v>
      </c>
      <c r="Q271" s="43"/>
    </row>
    <row r="272" spans="1:17" ht="14.4" x14ac:dyDescent="0.25">
      <c r="A272" s="219">
        <v>2.1800000000000002</v>
      </c>
      <c r="B272" s="220" t="s">
        <v>158</v>
      </c>
      <c r="C272" s="34">
        <f t="shared" si="228"/>
        <v>12.005299999999998</v>
      </c>
      <c r="D272" s="131">
        <f>5.91-1.48</f>
        <v>4.43</v>
      </c>
      <c r="E272" s="17">
        <v>2.71</v>
      </c>
      <c r="F272" s="33">
        <v>1</v>
      </c>
      <c r="G272" s="45"/>
      <c r="H272" s="65"/>
      <c r="I272" s="42"/>
      <c r="J272" s="43"/>
      <c r="K272" s="43"/>
      <c r="L272" s="43"/>
      <c r="M272" s="43"/>
      <c r="N272" s="43"/>
      <c r="O272" s="43"/>
      <c r="P272" s="43"/>
      <c r="Q272" s="43">
        <f>C272</f>
        <v>12.005299999999998</v>
      </c>
    </row>
    <row r="273" spans="1:17" ht="14.4" x14ac:dyDescent="0.25">
      <c r="A273" s="150"/>
      <c r="B273" s="157"/>
      <c r="C273" s="34">
        <f t="shared" si="228"/>
        <v>4.0107999999999997</v>
      </c>
      <c r="D273" s="131">
        <v>1.48</v>
      </c>
      <c r="E273" s="17">
        <v>2.71</v>
      </c>
      <c r="F273" s="33">
        <v>1</v>
      </c>
      <c r="G273" s="45"/>
      <c r="H273" s="65">
        <f t="shared" ref="H273" si="238">C273</f>
        <v>4.0107999999999997</v>
      </c>
      <c r="I273" s="42"/>
      <c r="J273" s="43">
        <f t="shared" ref="J273" si="239">H273-I273</f>
        <v>4.0107999999999997</v>
      </c>
      <c r="K273" s="43"/>
      <c r="L273" s="43"/>
      <c r="M273" s="43"/>
      <c r="N273" s="43"/>
      <c r="O273" s="43"/>
      <c r="P273" s="43"/>
      <c r="Q273" s="43">
        <f>J273</f>
        <v>4.0107999999999997</v>
      </c>
    </row>
    <row r="274" spans="1:17" ht="14.4" x14ac:dyDescent="0.25">
      <c r="A274" s="150">
        <v>0.46</v>
      </c>
      <c r="B274" s="15" t="s">
        <v>229</v>
      </c>
      <c r="C274" s="34">
        <f t="shared" si="228"/>
        <v>3.8300000000000005</v>
      </c>
      <c r="D274" s="131">
        <f>3.85-1.93</f>
        <v>1.9200000000000002</v>
      </c>
      <c r="E274" s="17">
        <v>4</v>
      </c>
      <c r="F274" s="33">
        <v>1</v>
      </c>
      <c r="G274" s="45">
        <v>3.85</v>
      </c>
      <c r="H274" s="65"/>
      <c r="I274" s="42"/>
      <c r="J274" s="43"/>
      <c r="K274" s="43"/>
      <c r="L274" s="43">
        <f>C274</f>
        <v>3.8300000000000005</v>
      </c>
      <c r="M274" s="43"/>
      <c r="N274" s="43"/>
      <c r="O274" s="43"/>
      <c r="P274" s="43"/>
      <c r="Q274" s="43"/>
    </row>
    <row r="275" spans="1:17" ht="14.4" x14ac:dyDescent="0.25">
      <c r="A275" s="150"/>
      <c r="B275" s="15"/>
      <c r="C275" s="34">
        <f t="shared" si="228"/>
        <v>7.72</v>
      </c>
      <c r="D275" s="131">
        <v>1.93</v>
      </c>
      <c r="E275" s="17">
        <v>4</v>
      </c>
      <c r="F275" s="33">
        <v>1</v>
      </c>
      <c r="G275" s="45"/>
      <c r="H275" s="65">
        <f t="shared" ref="H275" si="240">C275</f>
        <v>7.72</v>
      </c>
      <c r="I275" s="42">
        <f t="shared" ref="I275" si="241">H275-J275</f>
        <v>7.72</v>
      </c>
      <c r="J275" s="43"/>
      <c r="K275" s="43"/>
      <c r="L275" s="43">
        <f t="shared" ref="L275" si="242">I275</f>
        <v>7.72</v>
      </c>
      <c r="M275" s="43"/>
      <c r="N275" s="43"/>
      <c r="O275" s="43"/>
      <c r="P275" s="43"/>
      <c r="Q275" s="43"/>
    </row>
    <row r="276" spans="1:17" ht="14.4" x14ac:dyDescent="0.25">
      <c r="A276" s="150">
        <v>3.03</v>
      </c>
      <c r="B276" s="15" t="s">
        <v>229</v>
      </c>
      <c r="C276" s="34">
        <f t="shared" si="228"/>
        <v>15.93</v>
      </c>
      <c r="D276" s="131">
        <f>8.51-3</f>
        <v>5.51</v>
      </c>
      <c r="E276" s="17">
        <v>4</v>
      </c>
      <c r="F276" s="33">
        <v>1</v>
      </c>
      <c r="G276" s="45">
        <v>6.11</v>
      </c>
      <c r="H276" s="65"/>
      <c r="I276" s="42"/>
      <c r="J276" s="43"/>
      <c r="K276" s="43"/>
      <c r="L276" s="43">
        <f>C276</f>
        <v>15.93</v>
      </c>
      <c r="M276" s="43"/>
      <c r="N276" s="43"/>
      <c r="O276" s="43"/>
      <c r="P276" s="43"/>
      <c r="Q276" s="43"/>
    </row>
    <row r="277" spans="1:17" ht="14.4" x14ac:dyDescent="0.25">
      <c r="A277" s="150"/>
      <c r="B277" s="15"/>
      <c r="C277" s="34">
        <f t="shared" si="228"/>
        <v>12</v>
      </c>
      <c r="D277" s="131">
        <v>3</v>
      </c>
      <c r="E277" s="17">
        <v>4</v>
      </c>
      <c r="F277" s="33">
        <v>1</v>
      </c>
      <c r="G277" s="45"/>
      <c r="H277" s="65">
        <f t="shared" ref="H277" si="243">C277</f>
        <v>12</v>
      </c>
      <c r="I277" s="42">
        <f t="shared" ref="I277" si="244">H277-J277</f>
        <v>12</v>
      </c>
      <c r="J277" s="43"/>
      <c r="K277" s="43"/>
      <c r="L277" s="43">
        <f t="shared" ref="L277" si="245">I277</f>
        <v>12</v>
      </c>
      <c r="M277" s="43"/>
      <c r="N277" s="43"/>
      <c r="O277" s="43"/>
      <c r="P277" s="43"/>
      <c r="Q277" s="43"/>
    </row>
    <row r="278" spans="1:17" ht="14.4" x14ac:dyDescent="0.25">
      <c r="A278" s="219">
        <v>121.08</v>
      </c>
      <c r="B278" s="220" t="s">
        <v>231</v>
      </c>
      <c r="C278" s="34">
        <f t="shared" si="228"/>
        <v>83.53</v>
      </c>
      <c r="D278" s="131">
        <f>63.62-(12.82+17.6)</f>
        <v>33.199999999999996</v>
      </c>
      <c r="E278" s="17">
        <v>2.7</v>
      </c>
      <c r="F278" s="33">
        <v>1</v>
      </c>
      <c r="G278" s="45">
        <v>6.11</v>
      </c>
      <c r="H278" s="65"/>
      <c r="I278" s="42"/>
      <c r="J278" s="43"/>
      <c r="K278" s="43"/>
      <c r="L278" s="43">
        <f>C278</f>
        <v>83.53</v>
      </c>
      <c r="M278" s="43"/>
      <c r="N278" s="43"/>
      <c r="O278" s="43"/>
      <c r="P278" s="43"/>
      <c r="Q278" s="43"/>
    </row>
    <row r="279" spans="1:17" ht="14.4" x14ac:dyDescent="0.25">
      <c r="A279" s="150"/>
      <c r="B279" s="157"/>
      <c r="C279" s="34">
        <f t="shared" si="228"/>
        <v>47.52000000000001</v>
      </c>
      <c r="D279" s="131">
        <v>17.600000000000001</v>
      </c>
      <c r="E279" s="17">
        <v>2.7</v>
      </c>
      <c r="F279" s="33">
        <v>1</v>
      </c>
      <c r="G279" s="45"/>
      <c r="H279" s="65">
        <f t="shared" ref="H279" si="246">C279</f>
        <v>47.52000000000001</v>
      </c>
      <c r="I279" s="42">
        <f t="shared" ref="I279" si="247">H279-J279</f>
        <v>47.52000000000001</v>
      </c>
      <c r="J279" s="43"/>
      <c r="K279" s="43"/>
      <c r="L279" s="43">
        <f t="shared" ref="L279" si="248">I279</f>
        <v>47.52000000000001</v>
      </c>
      <c r="M279" s="43"/>
      <c r="N279" s="43"/>
      <c r="O279" s="43"/>
      <c r="P279" s="43"/>
      <c r="Q279" s="43"/>
    </row>
    <row r="280" spans="1:17" ht="14.4" x14ac:dyDescent="0.25">
      <c r="A280" s="150">
        <v>7.71</v>
      </c>
      <c r="B280" s="15" t="s">
        <v>177</v>
      </c>
      <c r="C280" s="34">
        <f t="shared" si="228"/>
        <v>16.035</v>
      </c>
      <c r="D280" s="131">
        <f>12.07-5.12</f>
        <v>6.95</v>
      </c>
      <c r="E280" s="17">
        <v>2.7</v>
      </c>
      <c r="F280" s="33">
        <v>1</v>
      </c>
      <c r="G280" s="45">
        <v>2.73</v>
      </c>
      <c r="H280" s="65"/>
      <c r="I280" s="42"/>
      <c r="J280" s="43"/>
      <c r="K280" s="43"/>
      <c r="L280" s="43"/>
      <c r="M280" s="43">
        <f>C280</f>
        <v>16.035</v>
      </c>
      <c r="N280" s="43"/>
      <c r="O280" s="43"/>
      <c r="P280" s="43"/>
      <c r="Q280" s="43"/>
    </row>
    <row r="281" spans="1:17" ht="14.4" x14ac:dyDescent="0.25">
      <c r="A281" s="150"/>
      <c r="B281" s="15"/>
      <c r="C281" s="34">
        <f t="shared" si="228"/>
        <v>13.824000000000002</v>
      </c>
      <c r="D281" s="131">
        <v>5.12</v>
      </c>
      <c r="E281" s="17">
        <v>2.7</v>
      </c>
      <c r="F281" s="33">
        <v>1</v>
      </c>
      <c r="G281" s="45"/>
      <c r="H281" s="65">
        <f t="shared" ref="H281" si="249">C281</f>
        <v>13.824000000000002</v>
      </c>
      <c r="I281" s="42">
        <f t="shared" ref="I281" si="250">H281-J281</f>
        <v>13.824000000000002</v>
      </c>
      <c r="J281" s="43"/>
      <c r="K281" s="43"/>
      <c r="L281" s="43"/>
      <c r="M281" s="43">
        <f>I281</f>
        <v>13.824000000000002</v>
      </c>
      <c r="N281" s="43"/>
      <c r="O281" s="43"/>
      <c r="P281" s="43"/>
      <c r="Q281" s="43"/>
    </row>
    <row r="282" spans="1:17" ht="14.4" x14ac:dyDescent="0.25">
      <c r="A282" s="219">
        <v>8.4</v>
      </c>
      <c r="B282" s="220" t="s">
        <v>168</v>
      </c>
      <c r="C282" s="34">
        <f t="shared" si="228"/>
        <v>26.19</v>
      </c>
      <c r="D282" s="131">
        <f>14.2-(3+1.5)</f>
        <v>9.6999999999999993</v>
      </c>
      <c r="E282" s="17">
        <v>2.7</v>
      </c>
      <c r="F282" s="33">
        <v>1</v>
      </c>
      <c r="G282" s="45"/>
      <c r="H282" s="65"/>
      <c r="I282" s="42"/>
      <c r="J282" s="43"/>
      <c r="K282" s="43"/>
      <c r="L282" s="43">
        <f>C282</f>
        <v>26.19</v>
      </c>
      <c r="M282" s="43"/>
      <c r="N282" s="43"/>
      <c r="O282" s="43"/>
      <c r="P282" s="43"/>
      <c r="Q282" s="43"/>
    </row>
    <row r="283" spans="1:17" ht="14.4" x14ac:dyDescent="0.25">
      <c r="A283" s="150"/>
      <c r="B283" s="157"/>
      <c r="C283" s="34">
        <f t="shared" si="228"/>
        <v>4.0500000000000007</v>
      </c>
      <c r="D283" s="131">
        <v>1.5</v>
      </c>
      <c r="E283" s="17">
        <v>2.7</v>
      </c>
      <c r="F283" s="33">
        <v>1</v>
      </c>
      <c r="G283" s="45"/>
      <c r="H283" s="65">
        <f t="shared" ref="H283" si="251">C283</f>
        <v>4.0500000000000007</v>
      </c>
      <c r="I283" s="42">
        <f t="shared" ref="I283" si="252">H283-J283</f>
        <v>4.0500000000000007</v>
      </c>
      <c r="J283" s="43"/>
      <c r="K283" s="43"/>
      <c r="L283" s="43">
        <f t="shared" ref="L283" si="253">I283</f>
        <v>4.0500000000000007</v>
      </c>
      <c r="M283" s="43"/>
      <c r="N283" s="43"/>
      <c r="O283" s="43"/>
      <c r="P283" s="43"/>
      <c r="Q283" s="43"/>
    </row>
    <row r="284" spans="1:17" ht="14.4" x14ac:dyDescent="0.25">
      <c r="A284" s="219">
        <v>7.35</v>
      </c>
      <c r="B284" s="220" t="s">
        <v>232</v>
      </c>
      <c r="C284" s="34">
        <f t="shared" si="228"/>
        <v>59.078000000000003</v>
      </c>
      <c r="D284" s="131">
        <v>10.9</v>
      </c>
      <c r="E284" s="17">
        <v>2.71</v>
      </c>
      <c r="F284" s="33">
        <v>2</v>
      </c>
      <c r="G284" s="45"/>
      <c r="H284" s="65"/>
      <c r="I284" s="42"/>
      <c r="J284" s="43"/>
      <c r="K284" s="43"/>
      <c r="L284" s="43"/>
      <c r="M284" s="43"/>
      <c r="N284" s="43"/>
      <c r="O284" s="43"/>
      <c r="P284" s="43">
        <f>C284</f>
        <v>59.078000000000003</v>
      </c>
      <c r="Q284" s="43"/>
    </row>
    <row r="285" spans="1:17" ht="14.4" x14ac:dyDescent="0.25">
      <c r="A285" s="150"/>
      <c r="B285" s="157"/>
      <c r="C285" s="34">
        <f t="shared" si="228"/>
        <v>21.408999999999999</v>
      </c>
      <c r="D285" s="131">
        <v>7.9</v>
      </c>
      <c r="E285" s="17">
        <v>2.71</v>
      </c>
      <c r="F285" s="33">
        <v>1</v>
      </c>
      <c r="G285" s="45"/>
      <c r="H285" s="65">
        <f t="shared" ref="H285" si="254">C285</f>
        <v>21.408999999999999</v>
      </c>
      <c r="I285" s="42"/>
      <c r="J285" s="43">
        <f t="shared" ref="J285" si="255">H285-I285</f>
        <v>21.408999999999999</v>
      </c>
      <c r="K285" s="43"/>
      <c r="L285" s="43"/>
      <c r="M285" s="43"/>
      <c r="N285" s="43"/>
      <c r="O285" s="43"/>
      <c r="P285" s="43">
        <f>J285</f>
        <v>21.408999999999999</v>
      </c>
      <c r="Q285" s="43"/>
    </row>
    <row r="286" spans="1:17" ht="14.4" x14ac:dyDescent="0.25">
      <c r="A286" s="150">
        <v>4.82</v>
      </c>
      <c r="B286" s="15" t="s">
        <v>233</v>
      </c>
      <c r="C286" s="34">
        <f t="shared" si="228"/>
        <v>25.029</v>
      </c>
      <c r="D286" s="131">
        <f>9.27</f>
        <v>9.27</v>
      </c>
      <c r="E286" s="17">
        <v>2.7</v>
      </c>
      <c r="F286" s="33">
        <v>1</v>
      </c>
      <c r="G286" s="45"/>
      <c r="H286" s="65"/>
      <c r="I286" s="42"/>
      <c r="J286" s="43"/>
      <c r="K286" s="43"/>
      <c r="L286" s="43">
        <f>C286</f>
        <v>25.029</v>
      </c>
      <c r="M286" s="43"/>
      <c r="N286" s="43"/>
      <c r="O286" s="43"/>
      <c r="P286" s="43"/>
      <c r="Q286" s="43"/>
    </row>
    <row r="287" spans="1:17" ht="14.4" x14ac:dyDescent="0.25">
      <c r="A287" s="150">
        <v>3.15</v>
      </c>
      <c r="B287" s="15" t="s">
        <v>189</v>
      </c>
      <c r="C287" s="34">
        <f t="shared" si="228"/>
        <v>15.094700000000001</v>
      </c>
      <c r="D287" s="131">
        <f>7.15-1.58</f>
        <v>5.57</v>
      </c>
      <c r="E287" s="17">
        <v>2.71</v>
      </c>
      <c r="F287" s="33">
        <v>1</v>
      </c>
      <c r="G287" s="45"/>
      <c r="H287" s="65"/>
      <c r="I287" s="42"/>
      <c r="J287" s="43"/>
      <c r="K287" s="43"/>
      <c r="L287" s="43"/>
      <c r="M287" s="43"/>
      <c r="N287" s="43"/>
      <c r="O287" s="43"/>
      <c r="P287" s="43">
        <f>C287</f>
        <v>15.094700000000001</v>
      </c>
      <c r="Q287" s="43"/>
    </row>
    <row r="288" spans="1:17" ht="14.4" x14ac:dyDescent="0.25">
      <c r="A288" s="150"/>
      <c r="B288" s="15"/>
      <c r="C288" s="34">
        <f t="shared" si="228"/>
        <v>4.2818000000000005</v>
      </c>
      <c r="D288" s="131">
        <v>1.58</v>
      </c>
      <c r="E288" s="17">
        <v>2.71</v>
      </c>
      <c r="F288" s="33">
        <v>1</v>
      </c>
      <c r="G288" s="45"/>
      <c r="H288" s="65">
        <f t="shared" ref="H288" si="256">C288</f>
        <v>4.2818000000000005</v>
      </c>
      <c r="I288" s="42"/>
      <c r="J288" s="43">
        <f t="shared" ref="J288" si="257">H288-I288</f>
        <v>4.2818000000000005</v>
      </c>
      <c r="K288" s="43"/>
      <c r="L288" s="43"/>
      <c r="M288" s="43"/>
      <c r="N288" s="43"/>
      <c r="O288" s="43"/>
      <c r="P288" s="43">
        <f>J288</f>
        <v>4.2818000000000005</v>
      </c>
      <c r="Q288" s="43"/>
    </row>
    <row r="289" spans="1:17" ht="14.4" x14ac:dyDescent="0.25">
      <c r="A289" s="150">
        <v>103.83</v>
      </c>
      <c r="B289" s="15" t="s">
        <v>234</v>
      </c>
      <c r="C289" s="34">
        <f t="shared" si="228"/>
        <v>115.89900000000002</v>
      </c>
      <c r="D289" s="131">
        <f>48.85-4.68</f>
        <v>44.17</v>
      </c>
      <c r="E289" s="17">
        <v>2.7</v>
      </c>
      <c r="F289" s="33">
        <v>1</v>
      </c>
      <c r="G289" s="45">
        <v>3.36</v>
      </c>
      <c r="H289" s="65"/>
      <c r="I289" s="42"/>
      <c r="J289" s="43"/>
      <c r="K289" s="43"/>
      <c r="L289" s="43">
        <f>C289</f>
        <v>115.89900000000002</v>
      </c>
      <c r="M289" s="43"/>
      <c r="N289" s="43"/>
      <c r="O289" s="43"/>
      <c r="P289" s="43"/>
      <c r="Q289" s="43"/>
    </row>
    <row r="290" spans="1:17" ht="14.4" x14ac:dyDescent="0.25">
      <c r="A290" s="150"/>
      <c r="B290" s="15"/>
      <c r="C290" s="34">
        <f t="shared" si="228"/>
        <v>21.195</v>
      </c>
      <c r="D290" s="131">
        <v>7.85</v>
      </c>
      <c r="E290" s="17">
        <v>2.7</v>
      </c>
      <c r="F290" s="33">
        <v>1</v>
      </c>
      <c r="G290" s="45"/>
      <c r="H290" s="65">
        <f t="shared" ref="H290" si="258">C290</f>
        <v>21.195</v>
      </c>
      <c r="I290" s="42">
        <f t="shared" ref="I290" si="259">H290-J290</f>
        <v>21.195</v>
      </c>
      <c r="J290" s="43"/>
      <c r="K290" s="43"/>
      <c r="L290" s="43">
        <f t="shared" ref="L290" si="260">I290</f>
        <v>21.195</v>
      </c>
      <c r="M290" s="43"/>
      <c r="N290" s="43"/>
      <c r="O290" s="43"/>
      <c r="P290" s="43"/>
      <c r="Q290" s="43"/>
    </row>
    <row r="291" spans="1:17" ht="14.4" x14ac:dyDescent="0.25">
      <c r="A291" s="150">
        <v>4.4000000000000004</v>
      </c>
      <c r="B291" s="15" t="s">
        <v>235</v>
      </c>
      <c r="C291" s="34">
        <f t="shared" si="228"/>
        <v>11.205000000000002</v>
      </c>
      <c r="D291" s="131">
        <f>7.4-3.25</f>
        <v>4.1500000000000004</v>
      </c>
      <c r="E291" s="17">
        <v>2.7</v>
      </c>
      <c r="F291" s="33">
        <v>1</v>
      </c>
      <c r="G291" s="45"/>
      <c r="H291" s="65"/>
      <c r="I291" s="42"/>
      <c r="J291" s="43"/>
      <c r="K291" s="43"/>
      <c r="L291" s="43">
        <f>C291</f>
        <v>11.205000000000002</v>
      </c>
      <c r="M291" s="43"/>
      <c r="N291" s="43"/>
      <c r="O291" s="43"/>
      <c r="P291" s="43"/>
      <c r="Q291" s="43"/>
    </row>
    <row r="292" spans="1:17" ht="14.4" x14ac:dyDescent="0.25">
      <c r="A292" s="150"/>
      <c r="B292" s="15"/>
      <c r="C292" s="34">
        <f t="shared" si="228"/>
        <v>8.7750000000000004</v>
      </c>
      <c r="D292" s="131">
        <v>3.25</v>
      </c>
      <c r="E292" s="17">
        <v>2.7</v>
      </c>
      <c r="F292" s="33">
        <v>1</v>
      </c>
      <c r="G292" s="45"/>
      <c r="H292" s="65">
        <f t="shared" ref="H292" si="261">C292</f>
        <v>8.7750000000000004</v>
      </c>
      <c r="I292" s="42">
        <f t="shared" ref="I292" si="262">H292-J292</f>
        <v>8.7750000000000004</v>
      </c>
      <c r="J292" s="43"/>
      <c r="K292" s="43"/>
      <c r="L292" s="43">
        <f t="shared" ref="L292" si="263">I292</f>
        <v>8.7750000000000004</v>
      </c>
      <c r="M292" s="43"/>
      <c r="N292" s="43"/>
      <c r="O292" s="43"/>
      <c r="P292" s="43"/>
      <c r="Q292" s="43"/>
    </row>
    <row r="293" spans="1:17" ht="14.4" x14ac:dyDescent="0.25">
      <c r="A293" s="219">
        <v>41.14</v>
      </c>
      <c r="B293" s="220" t="s">
        <v>236</v>
      </c>
      <c r="C293" s="34">
        <f t="shared" si="228"/>
        <v>46.203000000000003</v>
      </c>
      <c r="D293" s="131">
        <v>26.39</v>
      </c>
      <c r="E293" s="17">
        <v>2.7</v>
      </c>
      <c r="F293" s="33">
        <v>1</v>
      </c>
      <c r="G293" s="45">
        <v>25.05</v>
      </c>
      <c r="H293" s="65"/>
      <c r="I293" s="42"/>
      <c r="J293" s="43"/>
      <c r="K293" s="43"/>
      <c r="L293" s="43">
        <f>C293</f>
        <v>46.203000000000003</v>
      </c>
      <c r="M293" s="43"/>
      <c r="N293" s="43"/>
      <c r="O293" s="43"/>
      <c r="P293" s="43"/>
      <c r="Q293" s="43"/>
    </row>
    <row r="294" spans="1:17" ht="14.4" x14ac:dyDescent="0.25">
      <c r="A294" s="219">
        <v>41.06</v>
      </c>
      <c r="B294" s="220" t="s">
        <v>236</v>
      </c>
      <c r="C294" s="34">
        <f t="shared" si="228"/>
        <v>52.980000000000004</v>
      </c>
      <c r="D294" s="131">
        <v>28.9</v>
      </c>
      <c r="E294" s="17">
        <v>2.7</v>
      </c>
      <c r="F294" s="33">
        <v>1</v>
      </c>
      <c r="G294" s="45">
        <v>25.05</v>
      </c>
      <c r="H294" s="65"/>
      <c r="I294" s="42"/>
      <c r="J294" s="43"/>
      <c r="K294" s="43"/>
      <c r="L294" s="43">
        <f>C294</f>
        <v>52.980000000000004</v>
      </c>
      <c r="M294" s="43"/>
      <c r="N294" s="43"/>
      <c r="O294" s="43"/>
      <c r="P294" s="43"/>
      <c r="Q294" s="43"/>
    </row>
    <row r="295" spans="1:17" ht="14.4" x14ac:dyDescent="0.25">
      <c r="A295" s="219">
        <v>27.52</v>
      </c>
      <c r="B295" s="220" t="s">
        <v>237</v>
      </c>
      <c r="C295" s="34">
        <f t="shared" si="228"/>
        <v>32.021999999999998</v>
      </c>
      <c r="D295" s="131">
        <f>21.45-9.59</f>
        <v>11.86</v>
      </c>
      <c r="E295" s="17">
        <v>2.7</v>
      </c>
      <c r="F295" s="33">
        <v>1</v>
      </c>
      <c r="G295" s="45"/>
      <c r="H295" s="65"/>
      <c r="I295" s="42"/>
      <c r="J295" s="43"/>
      <c r="K295" s="43"/>
      <c r="L295" s="43">
        <f>C295</f>
        <v>32.021999999999998</v>
      </c>
      <c r="M295" s="43"/>
      <c r="N295" s="43"/>
      <c r="O295" s="43"/>
      <c r="P295" s="43"/>
      <c r="Q295" s="43"/>
    </row>
    <row r="296" spans="1:17" ht="14.4" x14ac:dyDescent="0.25">
      <c r="A296" s="150">
        <v>3.65</v>
      </c>
      <c r="B296" s="15" t="s">
        <v>168</v>
      </c>
      <c r="C296" s="34">
        <f t="shared" si="228"/>
        <v>19.656000000000002</v>
      </c>
      <c r="D296" s="131">
        <f>8.48-(1.2)</f>
        <v>7.28</v>
      </c>
      <c r="E296" s="17">
        <v>2.7</v>
      </c>
      <c r="F296" s="33">
        <v>1</v>
      </c>
      <c r="G296" s="45"/>
      <c r="H296" s="65"/>
      <c r="I296" s="42"/>
      <c r="J296" s="43"/>
      <c r="K296" s="43"/>
      <c r="L296" s="43">
        <f>C296</f>
        <v>19.656000000000002</v>
      </c>
      <c r="M296" s="43"/>
      <c r="N296" s="43"/>
      <c r="O296" s="43"/>
      <c r="P296" s="43"/>
      <c r="Q296" s="43"/>
    </row>
    <row r="297" spans="1:17" ht="14.4" x14ac:dyDescent="0.25">
      <c r="A297" s="219">
        <v>30.7</v>
      </c>
      <c r="B297" s="220" t="s">
        <v>238</v>
      </c>
      <c r="C297" s="34">
        <f t="shared" si="228"/>
        <v>22.640999999999998</v>
      </c>
      <c r="D297" s="131">
        <f>24.72-15.09</f>
        <v>9.629999999999999</v>
      </c>
      <c r="E297" s="17">
        <v>2.7</v>
      </c>
      <c r="F297" s="33">
        <v>1</v>
      </c>
      <c r="G297" s="45">
        <v>3.36</v>
      </c>
      <c r="H297" s="65"/>
      <c r="I297" s="42"/>
      <c r="J297" s="43"/>
      <c r="K297" s="43"/>
      <c r="L297" s="43">
        <f>C297</f>
        <v>22.640999999999998</v>
      </c>
      <c r="M297" s="43"/>
      <c r="N297" s="43"/>
      <c r="O297" s="43"/>
      <c r="P297" s="43"/>
      <c r="Q297" s="43"/>
    </row>
    <row r="298" spans="1:17" ht="14.4" x14ac:dyDescent="0.25">
      <c r="A298" s="150">
        <v>2.17</v>
      </c>
      <c r="B298" s="15" t="s">
        <v>227</v>
      </c>
      <c r="C298" s="34">
        <f t="shared" si="228"/>
        <v>16.3142</v>
      </c>
      <c r="D298" s="131">
        <v>6.02</v>
      </c>
      <c r="E298" s="17">
        <v>2.71</v>
      </c>
      <c r="F298" s="33">
        <v>1</v>
      </c>
      <c r="G298" s="45"/>
      <c r="H298" s="65"/>
      <c r="I298" s="42"/>
      <c r="J298" s="43"/>
      <c r="K298" s="43"/>
      <c r="L298" s="43"/>
      <c r="M298" s="43"/>
      <c r="N298" s="43"/>
      <c r="O298" s="43"/>
      <c r="P298" s="43">
        <f>C298</f>
        <v>16.3142</v>
      </c>
      <c r="Q298" s="43"/>
    </row>
    <row r="299" spans="1:17" ht="14.4" x14ac:dyDescent="0.25">
      <c r="A299" s="150">
        <v>2.16</v>
      </c>
      <c r="B299" s="15" t="s">
        <v>228</v>
      </c>
      <c r="C299" s="34">
        <f t="shared" si="228"/>
        <v>16.259999999999998</v>
      </c>
      <c r="D299" s="131">
        <v>6</v>
      </c>
      <c r="E299" s="17">
        <v>2.71</v>
      </c>
      <c r="F299" s="33">
        <v>1</v>
      </c>
      <c r="G299" s="45"/>
      <c r="H299" s="65"/>
      <c r="I299" s="42"/>
      <c r="J299" s="43"/>
      <c r="K299" s="43"/>
      <c r="L299" s="43"/>
      <c r="M299" s="43"/>
      <c r="N299" s="43"/>
      <c r="O299" s="43"/>
      <c r="P299" s="43">
        <f>C299</f>
        <v>16.259999999999998</v>
      </c>
      <c r="Q299" s="43"/>
    </row>
    <row r="300" spans="1:17" ht="14.4" x14ac:dyDescent="0.25">
      <c r="A300" s="219">
        <v>6.05</v>
      </c>
      <c r="B300" s="220" t="s">
        <v>239</v>
      </c>
      <c r="C300" s="34">
        <f t="shared" si="228"/>
        <v>1.2149999999999981</v>
      </c>
      <c r="D300" s="131">
        <f>9.92-9.47</f>
        <v>0.44999999999999929</v>
      </c>
      <c r="E300" s="17">
        <v>2.7</v>
      </c>
      <c r="F300" s="33">
        <v>1</v>
      </c>
      <c r="G300" s="45"/>
      <c r="H300" s="65"/>
      <c r="I300" s="42"/>
      <c r="J300" s="43"/>
      <c r="K300" s="43"/>
      <c r="L300" s="43">
        <f>C300</f>
        <v>1.2149999999999981</v>
      </c>
      <c r="M300" s="43"/>
      <c r="N300" s="43"/>
      <c r="O300" s="43"/>
      <c r="P300" s="43"/>
      <c r="Q300" s="43"/>
    </row>
    <row r="301" spans="1:17" ht="14.4" x14ac:dyDescent="0.25">
      <c r="A301" s="219">
        <v>5.18</v>
      </c>
      <c r="B301" s="220" t="s">
        <v>239</v>
      </c>
      <c r="C301" s="34">
        <f t="shared" si="228"/>
        <v>9.990000000000002</v>
      </c>
      <c r="D301" s="131">
        <f>9.25-(3.75+1.8)</f>
        <v>3.7</v>
      </c>
      <c r="E301" s="17">
        <v>2.7</v>
      </c>
      <c r="F301" s="33">
        <v>1</v>
      </c>
      <c r="G301" s="45"/>
      <c r="H301" s="65"/>
      <c r="I301" s="42"/>
      <c r="J301" s="43"/>
      <c r="K301" s="43"/>
      <c r="L301" s="43">
        <f>C301</f>
        <v>9.990000000000002</v>
      </c>
      <c r="M301" s="43"/>
      <c r="N301" s="43"/>
      <c r="O301" s="43"/>
      <c r="P301" s="43"/>
      <c r="Q301" s="43"/>
    </row>
    <row r="302" spans="1:17" ht="14.4" x14ac:dyDescent="0.25">
      <c r="A302" s="150"/>
      <c r="B302" s="157"/>
      <c r="C302" s="34">
        <f t="shared" si="228"/>
        <v>4.8600000000000003</v>
      </c>
      <c r="D302" s="131">
        <v>1.8</v>
      </c>
      <c r="E302" s="17">
        <v>2.7</v>
      </c>
      <c r="F302" s="33">
        <v>1</v>
      </c>
      <c r="G302" s="45"/>
      <c r="H302" s="65">
        <f t="shared" ref="H302" si="264">C302</f>
        <v>4.8600000000000003</v>
      </c>
      <c r="I302" s="42">
        <f t="shared" ref="I302" si="265">H302-J302</f>
        <v>4.8600000000000003</v>
      </c>
      <c r="J302" s="43"/>
      <c r="K302" s="43"/>
      <c r="L302" s="43">
        <f t="shared" ref="L302" si="266">I302</f>
        <v>4.8600000000000003</v>
      </c>
      <c r="M302" s="43"/>
      <c r="N302" s="43"/>
      <c r="O302" s="43"/>
      <c r="P302" s="43"/>
      <c r="Q302" s="43"/>
    </row>
    <row r="303" spans="1:17" ht="14.4" x14ac:dyDescent="0.25">
      <c r="A303" s="219">
        <v>16.73</v>
      </c>
      <c r="B303" s="220" t="s">
        <v>240</v>
      </c>
      <c r="C303" s="34">
        <f t="shared" si="228"/>
        <v>19.883000000000003</v>
      </c>
      <c r="D303" s="131">
        <f>18.65-(5.56+2.8)</f>
        <v>10.29</v>
      </c>
      <c r="E303" s="17">
        <v>2.7</v>
      </c>
      <c r="F303" s="33">
        <v>1</v>
      </c>
      <c r="G303" s="45">
        <v>7.9</v>
      </c>
      <c r="H303" s="65"/>
      <c r="I303" s="42"/>
      <c r="J303" s="43"/>
      <c r="K303" s="43"/>
      <c r="L303" s="43">
        <f>C303</f>
        <v>19.883000000000003</v>
      </c>
      <c r="M303" s="43"/>
      <c r="N303" s="43"/>
      <c r="O303" s="43"/>
      <c r="P303" s="43"/>
      <c r="Q303" s="43"/>
    </row>
    <row r="304" spans="1:17" ht="14.4" x14ac:dyDescent="0.25">
      <c r="A304" s="150"/>
      <c r="B304" s="157"/>
      <c r="C304" s="34">
        <f t="shared" si="228"/>
        <v>7.56</v>
      </c>
      <c r="D304" s="131">
        <v>2.8</v>
      </c>
      <c r="E304" s="17">
        <v>2.7</v>
      </c>
      <c r="F304" s="33">
        <v>1</v>
      </c>
      <c r="G304" s="45"/>
      <c r="H304" s="65">
        <f t="shared" ref="H304" si="267">C304</f>
        <v>7.56</v>
      </c>
      <c r="I304" s="42">
        <f t="shared" ref="I304" si="268">H304-J304</f>
        <v>7.56</v>
      </c>
      <c r="J304" s="43"/>
      <c r="K304" s="43"/>
      <c r="L304" s="43">
        <f t="shared" ref="L304" si="269">I304</f>
        <v>7.56</v>
      </c>
      <c r="M304" s="43"/>
      <c r="N304" s="43"/>
      <c r="O304" s="43"/>
      <c r="P304" s="43"/>
      <c r="Q304" s="43"/>
    </row>
    <row r="305" spans="1:17" ht="14.4" x14ac:dyDescent="0.25">
      <c r="A305" s="150">
        <v>39.880000000000003</v>
      </c>
      <c r="B305" s="15" t="s">
        <v>241</v>
      </c>
      <c r="C305" s="34">
        <f t="shared" si="228"/>
        <v>22.302000000000007</v>
      </c>
      <c r="D305" s="131">
        <f>25.21-(9.93+7.02)</f>
        <v>8.2600000000000016</v>
      </c>
      <c r="E305" s="17">
        <v>2.7</v>
      </c>
      <c r="F305" s="33">
        <v>1</v>
      </c>
      <c r="G305" s="45"/>
      <c r="H305" s="65"/>
      <c r="I305" s="42"/>
      <c r="J305" s="43"/>
      <c r="K305" s="43"/>
      <c r="L305" s="43">
        <f>C305</f>
        <v>22.302000000000007</v>
      </c>
      <c r="M305" s="43"/>
      <c r="N305" s="43"/>
      <c r="O305" s="43"/>
      <c r="P305" s="43"/>
      <c r="Q305" s="43"/>
    </row>
    <row r="306" spans="1:17" ht="14.4" x14ac:dyDescent="0.25">
      <c r="A306" s="150"/>
      <c r="B306" s="15"/>
      <c r="C306" s="34">
        <f t="shared" si="228"/>
        <v>18.954000000000001</v>
      </c>
      <c r="D306" s="131">
        <v>7.02</v>
      </c>
      <c r="E306" s="17">
        <v>2.7</v>
      </c>
      <c r="F306" s="33">
        <v>1</v>
      </c>
      <c r="G306" s="45"/>
      <c r="H306" s="65">
        <f t="shared" ref="H306" si="270">C306</f>
        <v>18.954000000000001</v>
      </c>
      <c r="I306" s="42">
        <f t="shared" ref="I306" si="271">H306-J306</f>
        <v>18.954000000000001</v>
      </c>
      <c r="J306" s="43"/>
      <c r="K306" s="43"/>
      <c r="L306" s="43">
        <f t="shared" ref="L306" si="272">I306</f>
        <v>18.954000000000001</v>
      </c>
      <c r="M306" s="43"/>
      <c r="N306" s="43"/>
      <c r="O306" s="43"/>
      <c r="P306" s="43"/>
      <c r="Q306" s="43"/>
    </row>
    <row r="307" spans="1:17" ht="14.4" x14ac:dyDescent="0.25">
      <c r="A307" s="150">
        <v>7.62</v>
      </c>
      <c r="B307" s="15" t="s">
        <v>168</v>
      </c>
      <c r="C307" s="34">
        <f t="shared" si="228"/>
        <v>35.532000000000004</v>
      </c>
      <c r="D307" s="131">
        <v>13.16</v>
      </c>
      <c r="E307" s="17">
        <v>2.7</v>
      </c>
      <c r="F307" s="33">
        <v>1</v>
      </c>
      <c r="G307" s="45"/>
      <c r="H307" s="65"/>
      <c r="I307" s="42"/>
      <c r="J307" s="43"/>
      <c r="K307" s="43"/>
      <c r="L307" s="43">
        <f>C307</f>
        <v>35.532000000000004</v>
      </c>
      <c r="M307" s="43"/>
      <c r="N307" s="43"/>
      <c r="O307" s="43"/>
      <c r="P307" s="43"/>
      <c r="Q307" s="43"/>
    </row>
    <row r="308" spans="1:17" ht="14.4" x14ac:dyDescent="0.25">
      <c r="A308" s="150">
        <v>12.19</v>
      </c>
      <c r="B308" s="15" t="s">
        <v>242</v>
      </c>
      <c r="C308" s="34">
        <f t="shared" si="228"/>
        <v>30.024000000000001</v>
      </c>
      <c r="D308" s="131">
        <f>14.12-3</f>
        <v>11.12</v>
      </c>
      <c r="E308" s="17">
        <v>2.7</v>
      </c>
      <c r="F308" s="33">
        <v>1</v>
      </c>
      <c r="G308" s="45"/>
      <c r="H308" s="65"/>
      <c r="I308" s="42"/>
      <c r="J308" s="43"/>
      <c r="K308" s="43"/>
      <c r="L308" s="43">
        <f>C308</f>
        <v>30.024000000000001</v>
      </c>
      <c r="M308" s="43"/>
      <c r="N308" s="43"/>
      <c r="O308" s="43"/>
      <c r="P308" s="43"/>
      <c r="Q308" s="43"/>
    </row>
    <row r="309" spans="1:17" ht="14.4" x14ac:dyDescent="0.25">
      <c r="A309" s="150"/>
      <c r="B309" s="15"/>
      <c r="C309" s="34">
        <f t="shared" si="228"/>
        <v>8.1000000000000014</v>
      </c>
      <c r="D309" s="131">
        <v>3</v>
      </c>
      <c r="E309" s="17">
        <v>2.7</v>
      </c>
      <c r="F309" s="33">
        <v>1</v>
      </c>
      <c r="G309" s="45"/>
      <c r="H309" s="65">
        <f t="shared" ref="H309" si="273">C309</f>
        <v>8.1000000000000014</v>
      </c>
      <c r="I309" s="42">
        <f t="shared" ref="I309" si="274">H309-J309</f>
        <v>8.1000000000000014</v>
      </c>
      <c r="J309" s="43"/>
      <c r="K309" s="43"/>
      <c r="L309" s="43">
        <f t="shared" ref="L309" si="275">I309</f>
        <v>8.1000000000000014</v>
      </c>
      <c r="M309" s="43"/>
      <c r="N309" s="43"/>
      <c r="O309" s="43"/>
      <c r="P309" s="43"/>
      <c r="Q309" s="43"/>
    </row>
    <row r="310" spans="1:17" ht="14.4" x14ac:dyDescent="0.25">
      <c r="A310" s="150">
        <v>4</v>
      </c>
      <c r="B310" s="15" t="s">
        <v>213</v>
      </c>
      <c r="C310" s="34">
        <f t="shared" si="228"/>
        <v>32.249000000000002</v>
      </c>
      <c r="D310" s="131">
        <f>8-2.05</f>
        <v>5.95</v>
      </c>
      <c r="E310" s="17">
        <v>2.71</v>
      </c>
      <c r="F310" s="33">
        <v>2</v>
      </c>
      <c r="G310" s="45"/>
      <c r="H310" s="65"/>
      <c r="I310" s="42"/>
      <c r="J310" s="43"/>
      <c r="K310" s="43"/>
      <c r="L310" s="43"/>
      <c r="M310" s="43"/>
      <c r="N310" s="43"/>
      <c r="O310" s="43"/>
      <c r="P310" s="43">
        <f>C310</f>
        <v>32.249000000000002</v>
      </c>
      <c r="Q310" s="43"/>
    </row>
    <row r="311" spans="1:17" ht="14.4" x14ac:dyDescent="0.25">
      <c r="A311" s="150"/>
      <c r="B311" s="15"/>
      <c r="C311" s="34">
        <f t="shared" si="228"/>
        <v>5.5554999999999994</v>
      </c>
      <c r="D311" s="131">
        <v>2.0499999999999998</v>
      </c>
      <c r="E311" s="17">
        <v>2.71</v>
      </c>
      <c r="F311" s="33">
        <v>1</v>
      </c>
      <c r="G311" s="45"/>
      <c r="H311" s="65">
        <f t="shared" ref="H311" si="276">C311</f>
        <v>5.5554999999999994</v>
      </c>
      <c r="I311" s="42"/>
      <c r="J311" s="43">
        <f t="shared" ref="J311" si="277">H311-I311</f>
        <v>5.5554999999999994</v>
      </c>
      <c r="K311" s="43"/>
      <c r="L311" s="43"/>
      <c r="M311" s="43"/>
      <c r="N311" s="43"/>
      <c r="O311" s="43"/>
      <c r="P311" s="43">
        <f>J311</f>
        <v>5.5554999999999994</v>
      </c>
      <c r="Q311" s="43"/>
    </row>
    <row r="312" spans="1:17" ht="14.4" x14ac:dyDescent="0.25">
      <c r="A312" s="150">
        <v>16.71</v>
      </c>
      <c r="B312" s="15" t="s">
        <v>243</v>
      </c>
      <c r="C312" s="34">
        <f t="shared" si="228"/>
        <v>38.286000000000001</v>
      </c>
      <c r="D312" s="131">
        <f>17.18-3</f>
        <v>14.18</v>
      </c>
      <c r="E312" s="17">
        <v>2.7</v>
      </c>
      <c r="F312" s="33">
        <v>1</v>
      </c>
      <c r="G312" s="45"/>
      <c r="H312" s="65"/>
      <c r="I312" s="42"/>
      <c r="J312" s="43"/>
      <c r="K312" s="43"/>
      <c r="L312" s="43">
        <f>C312</f>
        <v>38.286000000000001</v>
      </c>
      <c r="M312" s="43"/>
      <c r="N312" s="43"/>
      <c r="O312" s="43"/>
      <c r="P312" s="43"/>
      <c r="Q312" s="43"/>
    </row>
    <row r="313" spans="1:17" ht="14.4" x14ac:dyDescent="0.25">
      <c r="A313" s="150"/>
      <c r="B313" s="260"/>
      <c r="C313" s="34">
        <f t="shared" si="228"/>
        <v>8.1000000000000014</v>
      </c>
      <c r="D313" s="131">
        <v>3</v>
      </c>
      <c r="E313" s="17">
        <v>2.7</v>
      </c>
      <c r="F313" s="33">
        <v>1</v>
      </c>
      <c r="G313" s="45"/>
      <c r="H313" s="65">
        <f t="shared" ref="H313" si="278">C313</f>
        <v>8.1000000000000014</v>
      </c>
      <c r="I313" s="42">
        <f t="shared" ref="I313" si="279">H313-J313</f>
        <v>8.1000000000000014</v>
      </c>
      <c r="J313" s="43"/>
      <c r="K313" s="43"/>
      <c r="L313" s="43">
        <f t="shared" ref="L313" si="280">I313</f>
        <v>8.1000000000000014</v>
      </c>
      <c r="M313" s="43"/>
      <c r="N313" s="43"/>
      <c r="O313" s="43"/>
      <c r="P313" s="43"/>
      <c r="Q313" s="43"/>
    </row>
    <row r="314" spans="1:17" ht="14.4" x14ac:dyDescent="0.25">
      <c r="A314" s="150">
        <v>1.1599999999999999</v>
      </c>
      <c r="B314" s="260" t="s">
        <v>229</v>
      </c>
      <c r="C314" s="34">
        <f t="shared" si="228"/>
        <v>7.2600000000000016</v>
      </c>
      <c r="D314" s="131">
        <f>6.82-3.03</f>
        <v>3.7900000000000005</v>
      </c>
      <c r="E314" s="17">
        <v>4</v>
      </c>
      <c r="F314" s="33">
        <v>1</v>
      </c>
      <c r="G314" s="261">
        <v>7.9</v>
      </c>
      <c r="H314" s="65"/>
      <c r="I314" s="42"/>
      <c r="J314" s="43"/>
      <c r="K314" s="43"/>
      <c r="L314" s="43">
        <f>C314</f>
        <v>7.2600000000000016</v>
      </c>
      <c r="M314" s="43"/>
      <c r="N314" s="43"/>
      <c r="O314" s="43"/>
      <c r="P314" s="43"/>
      <c r="Q314" s="43"/>
    </row>
    <row r="315" spans="1:17" ht="14.4" x14ac:dyDescent="0.25">
      <c r="A315" s="150"/>
      <c r="B315" s="260"/>
      <c r="C315" s="34">
        <f t="shared" si="228"/>
        <v>12.12</v>
      </c>
      <c r="D315" s="428">
        <v>3.03</v>
      </c>
      <c r="E315" s="429">
        <v>4</v>
      </c>
      <c r="F315" s="430">
        <v>1</v>
      </c>
      <c r="G315" s="438"/>
      <c r="H315" s="65">
        <f t="shared" ref="H315" si="281">C315</f>
        <v>12.12</v>
      </c>
      <c r="I315" s="42">
        <f t="shared" ref="I315" si="282">H315-J315</f>
        <v>12.12</v>
      </c>
      <c r="J315" s="43"/>
      <c r="K315" s="43"/>
      <c r="L315" s="43">
        <f t="shared" ref="L315:L317" si="283">I315</f>
        <v>12.12</v>
      </c>
      <c r="M315" s="432"/>
      <c r="N315" s="432"/>
      <c r="O315" s="432"/>
      <c r="P315" s="432"/>
      <c r="Q315" s="432"/>
    </row>
    <row r="316" spans="1:17" ht="14.4" x14ac:dyDescent="0.25">
      <c r="A316" s="442">
        <v>1.17</v>
      </c>
      <c r="B316" s="15" t="s">
        <v>229</v>
      </c>
      <c r="C316" s="34">
        <f t="shared" si="228"/>
        <v>15.680000000000001</v>
      </c>
      <c r="D316" s="131">
        <f>7.15-3.23</f>
        <v>3.9200000000000004</v>
      </c>
      <c r="E316" s="17">
        <v>4</v>
      </c>
      <c r="F316" s="33">
        <v>1</v>
      </c>
      <c r="G316" s="261"/>
      <c r="H316" s="65"/>
      <c r="I316" s="42"/>
      <c r="J316" s="43"/>
      <c r="K316" s="43"/>
      <c r="L316" s="43">
        <f>C316</f>
        <v>15.680000000000001</v>
      </c>
      <c r="M316" s="43"/>
      <c r="N316" s="43"/>
      <c r="O316" s="43"/>
      <c r="P316" s="43"/>
      <c r="Q316" s="43"/>
    </row>
    <row r="317" spans="1:17" ht="15" thickBot="1" x14ac:dyDescent="0.3">
      <c r="A317" s="443"/>
      <c r="B317" s="279"/>
      <c r="C317" s="327">
        <f t="shared" si="228"/>
        <v>12.92</v>
      </c>
      <c r="D317" s="328">
        <v>3.23</v>
      </c>
      <c r="E317" s="329">
        <v>4</v>
      </c>
      <c r="F317" s="330">
        <v>1</v>
      </c>
      <c r="G317" s="331"/>
      <c r="H317" s="332">
        <f t="shared" ref="H317" si="284">C317</f>
        <v>12.92</v>
      </c>
      <c r="I317" s="333">
        <f t="shared" ref="I317" si="285">H317-J317</f>
        <v>12.92</v>
      </c>
      <c r="J317" s="334"/>
      <c r="K317" s="334"/>
      <c r="L317" s="334">
        <f t="shared" si="283"/>
        <v>12.92</v>
      </c>
      <c r="M317" s="334"/>
      <c r="N317" s="334"/>
      <c r="O317" s="334"/>
      <c r="P317" s="334"/>
      <c r="Q317" s="334"/>
    </row>
    <row r="318" spans="1:17" ht="14.4" x14ac:dyDescent="0.25">
      <c r="A318" s="219">
        <v>24.47</v>
      </c>
      <c r="B318" s="320" t="s">
        <v>332</v>
      </c>
      <c r="C318" s="321">
        <f t="shared" si="228"/>
        <v>106.73950000000001</v>
      </c>
      <c r="D318" s="322">
        <v>28.27</v>
      </c>
      <c r="E318" s="323">
        <v>3.85</v>
      </c>
      <c r="F318" s="29">
        <v>1</v>
      </c>
      <c r="G318" s="45">
        <v>2.1</v>
      </c>
      <c r="H318" s="324">
        <f t="shared" ref="H318" si="286">C318</f>
        <v>106.73950000000001</v>
      </c>
      <c r="I318" s="325">
        <f t="shared" ref="I318" si="287">H318-J318</f>
        <v>106.73950000000001</v>
      </c>
      <c r="J318" s="326"/>
      <c r="K318" s="326"/>
      <c r="L318" s="326"/>
      <c r="M318" s="326">
        <f>I318</f>
        <v>106.73950000000001</v>
      </c>
      <c r="N318" s="326"/>
      <c r="O318" s="326"/>
      <c r="P318" s="326"/>
      <c r="Q318" s="326"/>
    </row>
    <row r="319" spans="1:17" ht="14.4" x14ac:dyDescent="0.25">
      <c r="A319" s="219">
        <v>14.74</v>
      </c>
      <c r="B319" s="317" t="s">
        <v>168</v>
      </c>
      <c r="C319" s="321">
        <f t="shared" si="228"/>
        <v>36.105000000000004</v>
      </c>
      <c r="D319" s="131">
        <f>22.59-(2.44+3)</f>
        <v>17.149999999999999</v>
      </c>
      <c r="E319" s="17">
        <v>2.7</v>
      </c>
      <c r="F319" s="33">
        <v>1</v>
      </c>
      <c r="G319" s="261">
        <v>10.199999999999999</v>
      </c>
      <c r="H319" s="65"/>
      <c r="I319" s="42"/>
      <c r="J319" s="43"/>
      <c r="K319" s="43"/>
      <c r="L319" s="43">
        <f>C319</f>
        <v>36.105000000000004</v>
      </c>
      <c r="M319" s="43"/>
      <c r="N319" s="43"/>
      <c r="O319" s="43"/>
      <c r="P319" s="43"/>
      <c r="Q319" s="43"/>
    </row>
    <row r="320" spans="1:17" ht="14.4" x14ac:dyDescent="0.25">
      <c r="A320" s="150"/>
      <c r="B320" s="262"/>
      <c r="C320" s="321">
        <f t="shared" si="228"/>
        <v>8.1000000000000014</v>
      </c>
      <c r="D320" s="131">
        <v>3</v>
      </c>
      <c r="E320" s="17">
        <v>2.7</v>
      </c>
      <c r="F320" s="33">
        <v>1</v>
      </c>
      <c r="G320" s="261"/>
      <c r="H320" s="65">
        <f t="shared" ref="H320" si="288">C320</f>
        <v>8.1000000000000014</v>
      </c>
      <c r="I320" s="42">
        <f t="shared" ref="I320" si="289">H320-J320</f>
        <v>8.1000000000000014</v>
      </c>
      <c r="J320" s="43"/>
      <c r="K320" s="43"/>
      <c r="L320" s="43">
        <f t="shared" ref="L320" si="290">I320</f>
        <v>8.1000000000000014</v>
      </c>
      <c r="M320" s="43"/>
      <c r="N320" s="43"/>
      <c r="O320" s="43"/>
      <c r="P320" s="43"/>
      <c r="Q320" s="43"/>
    </row>
    <row r="321" spans="1:17" ht="14.4" x14ac:dyDescent="0.25">
      <c r="A321" s="150">
        <v>1.5</v>
      </c>
      <c r="B321" s="262" t="s">
        <v>229</v>
      </c>
      <c r="C321" s="288">
        <f t="shared" si="228"/>
        <v>18.2</v>
      </c>
      <c r="D321" s="131">
        <f>7-0.5</f>
        <v>6.5</v>
      </c>
      <c r="E321" s="17">
        <v>4</v>
      </c>
      <c r="F321" s="33">
        <v>1</v>
      </c>
      <c r="G321" s="261">
        <v>7.8</v>
      </c>
      <c r="H321" s="65"/>
      <c r="I321" s="42"/>
      <c r="J321" s="43"/>
      <c r="K321" s="43"/>
      <c r="L321" s="43">
        <f>C321</f>
        <v>18.2</v>
      </c>
      <c r="M321" s="43"/>
      <c r="N321" s="43"/>
      <c r="O321" s="43"/>
      <c r="P321" s="43"/>
      <c r="Q321" s="43"/>
    </row>
    <row r="322" spans="1:17" ht="14.4" x14ac:dyDescent="0.25">
      <c r="A322" s="150"/>
      <c r="B322" s="262"/>
      <c r="C322" s="288">
        <f t="shared" si="228"/>
        <v>2</v>
      </c>
      <c r="D322" s="131">
        <v>0.5</v>
      </c>
      <c r="E322" s="17">
        <v>4</v>
      </c>
      <c r="F322" s="33">
        <v>1</v>
      </c>
      <c r="G322" s="261"/>
      <c r="H322" s="65">
        <f t="shared" ref="H322" si="291">C322</f>
        <v>2</v>
      </c>
      <c r="I322" s="42">
        <f t="shared" ref="I322" si="292">H322-J322</f>
        <v>2</v>
      </c>
      <c r="J322" s="43"/>
      <c r="K322" s="43"/>
      <c r="L322" s="43">
        <f t="shared" ref="L322" si="293">I322</f>
        <v>2</v>
      </c>
      <c r="M322" s="43"/>
      <c r="N322" s="43"/>
      <c r="O322" s="43"/>
      <c r="P322" s="43"/>
      <c r="Q322" s="43"/>
    </row>
    <row r="323" spans="1:17" ht="14.4" x14ac:dyDescent="0.25">
      <c r="A323" s="219">
        <v>17.649999999999999</v>
      </c>
      <c r="B323" s="317" t="s">
        <v>238</v>
      </c>
      <c r="C323" s="34">
        <f t="shared" si="228"/>
        <v>30.483000000000001</v>
      </c>
      <c r="D323" s="131">
        <f>18.09-6.8</f>
        <v>11.29</v>
      </c>
      <c r="E323" s="17">
        <v>2.7</v>
      </c>
      <c r="F323" s="33">
        <v>1</v>
      </c>
      <c r="G323" s="261"/>
      <c r="H323" s="65"/>
      <c r="I323" s="42"/>
      <c r="J323" s="43"/>
      <c r="K323" s="43"/>
      <c r="L323" s="43">
        <f>C323</f>
        <v>30.483000000000001</v>
      </c>
      <c r="M323" s="43"/>
      <c r="N323" s="43"/>
      <c r="O323" s="43"/>
      <c r="P323" s="43"/>
      <c r="Q323" s="43"/>
    </row>
    <row r="324" spans="1:17" ht="14.4" x14ac:dyDescent="0.25">
      <c r="A324" s="219">
        <v>31.48</v>
      </c>
      <c r="B324" s="317" t="s">
        <v>368</v>
      </c>
      <c r="C324" s="34">
        <f t="shared" si="228"/>
        <v>15.984000000000007</v>
      </c>
      <c r="D324" s="131">
        <f>25.42-(9.55+6.95)</f>
        <v>8.9200000000000017</v>
      </c>
      <c r="E324" s="17">
        <v>2.7</v>
      </c>
      <c r="F324" s="33">
        <v>1</v>
      </c>
      <c r="G324" s="261">
        <v>8.1</v>
      </c>
      <c r="H324" s="65"/>
      <c r="I324" s="42"/>
      <c r="J324" s="43"/>
      <c r="K324" s="43"/>
      <c r="L324" s="43">
        <f>C324</f>
        <v>15.984000000000007</v>
      </c>
      <c r="M324" s="43"/>
      <c r="N324" s="43"/>
      <c r="O324" s="43"/>
      <c r="P324" s="43"/>
      <c r="Q324" s="43"/>
    </row>
    <row r="325" spans="1:17" ht="14.4" x14ac:dyDescent="0.25">
      <c r="A325" s="150"/>
      <c r="B325" s="262"/>
      <c r="C325" s="34">
        <f t="shared" si="228"/>
        <v>18.765000000000001</v>
      </c>
      <c r="D325" s="131">
        <v>6.95</v>
      </c>
      <c r="E325" s="17">
        <v>2.7</v>
      </c>
      <c r="F325" s="33">
        <v>1</v>
      </c>
      <c r="G325" s="261"/>
      <c r="H325" s="65">
        <f t="shared" ref="H325" si="294">C325</f>
        <v>18.765000000000001</v>
      </c>
      <c r="I325" s="42">
        <f t="shared" ref="I325" si="295">H325-J325</f>
        <v>18.765000000000001</v>
      </c>
      <c r="J325" s="43"/>
      <c r="K325" s="43"/>
      <c r="L325" s="43">
        <f t="shared" ref="L325" si="296">I325</f>
        <v>18.765000000000001</v>
      </c>
      <c r="M325" s="43"/>
      <c r="N325" s="43"/>
      <c r="O325" s="43"/>
      <c r="P325" s="43"/>
      <c r="Q325" s="43"/>
    </row>
    <row r="326" spans="1:17" ht="14.4" x14ac:dyDescent="0.25">
      <c r="A326" s="219">
        <v>18.55</v>
      </c>
      <c r="B326" s="317" t="s">
        <v>369</v>
      </c>
      <c r="C326" s="34">
        <f t="shared" si="228"/>
        <v>23.733000000000004</v>
      </c>
      <c r="D326" s="131">
        <f>17.73-8.94</f>
        <v>8.7900000000000009</v>
      </c>
      <c r="E326" s="17">
        <v>2.7</v>
      </c>
      <c r="F326" s="33">
        <v>1</v>
      </c>
      <c r="G326" s="261"/>
      <c r="H326" s="65"/>
      <c r="I326" s="42"/>
      <c r="J326" s="43"/>
      <c r="K326" s="43"/>
      <c r="L326" s="43">
        <f>C326</f>
        <v>23.733000000000004</v>
      </c>
      <c r="M326" s="43"/>
      <c r="N326" s="43"/>
      <c r="O326" s="43"/>
      <c r="P326" s="43"/>
      <c r="Q326" s="43"/>
    </row>
    <row r="327" spans="1:17" ht="14.4" x14ac:dyDescent="0.25">
      <c r="A327" s="150">
        <v>40.020000000000003</v>
      </c>
      <c r="B327" s="260" t="s">
        <v>370</v>
      </c>
      <c r="C327" s="34">
        <f t="shared" si="228"/>
        <v>24.111000000000011</v>
      </c>
      <c r="D327" s="131">
        <f>25.42-(3.8+12.69)</f>
        <v>8.9300000000000033</v>
      </c>
      <c r="E327" s="17">
        <v>2.7</v>
      </c>
      <c r="F327" s="33">
        <v>1</v>
      </c>
      <c r="G327" s="261"/>
      <c r="H327" s="65"/>
      <c r="I327" s="42"/>
      <c r="J327" s="43"/>
      <c r="K327" s="43"/>
      <c r="L327" s="43">
        <f>C327</f>
        <v>24.111000000000011</v>
      </c>
      <c r="M327" s="43"/>
      <c r="N327" s="43"/>
      <c r="O327" s="43"/>
      <c r="P327" s="43"/>
      <c r="Q327" s="43"/>
    </row>
    <row r="328" spans="1:17" ht="14.4" x14ac:dyDescent="0.25">
      <c r="A328" s="150"/>
      <c r="B328" s="260"/>
      <c r="C328" s="34">
        <f t="shared" si="228"/>
        <v>34.262999999999998</v>
      </c>
      <c r="D328" s="131">
        <v>12.69</v>
      </c>
      <c r="E328" s="17">
        <v>2.7</v>
      </c>
      <c r="F328" s="33">
        <v>1</v>
      </c>
      <c r="G328" s="261"/>
      <c r="H328" s="65">
        <f t="shared" ref="H328" si="297">C328</f>
        <v>34.262999999999998</v>
      </c>
      <c r="I328" s="42">
        <f t="shared" ref="I328" si="298">H328-J328</f>
        <v>34.262999999999998</v>
      </c>
      <c r="J328" s="43"/>
      <c r="K328" s="43"/>
      <c r="L328" s="43">
        <f t="shared" ref="L328" si="299">I328</f>
        <v>34.262999999999998</v>
      </c>
      <c r="M328" s="43"/>
      <c r="N328" s="43"/>
      <c r="O328" s="43"/>
      <c r="P328" s="43"/>
      <c r="Q328" s="43"/>
    </row>
    <row r="329" spans="1:17" ht="25.05" customHeight="1" x14ac:dyDescent="0.25">
      <c r="A329" s="150">
        <v>25.42</v>
      </c>
      <c r="B329" s="280" t="s">
        <v>371</v>
      </c>
      <c r="C329" s="34">
        <f t="shared" si="228"/>
        <v>142.70859999999999</v>
      </c>
      <c r="D329" s="131">
        <v>26.33</v>
      </c>
      <c r="E329" s="17">
        <v>2.71</v>
      </c>
      <c r="F329" s="33">
        <v>2</v>
      </c>
      <c r="G329" s="261"/>
      <c r="H329" s="65"/>
      <c r="I329" s="42"/>
      <c r="J329" s="43"/>
      <c r="K329" s="43"/>
      <c r="L329" s="43"/>
      <c r="M329" s="43"/>
      <c r="N329" s="43"/>
      <c r="O329" s="43"/>
      <c r="P329" s="43">
        <f>C329</f>
        <v>142.70859999999999</v>
      </c>
      <c r="Q329" s="43"/>
    </row>
    <row r="330" spans="1:17" ht="25.05" customHeight="1" x14ac:dyDescent="0.25">
      <c r="A330" s="150"/>
      <c r="B330" s="280"/>
      <c r="C330" s="34">
        <f t="shared" si="228"/>
        <v>49.430399999999992</v>
      </c>
      <c r="D330" s="131">
        <v>18.239999999999998</v>
      </c>
      <c r="E330" s="17">
        <v>2.71</v>
      </c>
      <c r="F330" s="33">
        <v>1</v>
      </c>
      <c r="G330" s="261"/>
      <c r="H330" s="65">
        <f t="shared" ref="H330" si="300">C330</f>
        <v>49.430399999999992</v>
      </c>
      <c r="I330" s="42"/>
      <c r="J330" s="43">
        <f t="shared" ref="J330" si="301">H330-I330</f>
        <v>49.430399999999992</v>
      </c>
      <c r="K330" s="43"/>
      <c r="L330" s="43"/>
      <c r="M330" s="43"/>
      <c r="N330" s="43"/>
      <c r="O330" s="43"/>
      <c r="P330" s="43">
        <f>J330</f>
        <v>49.430399999999992</v>
      </c>
      <c r="Q330" s="43"/>
    </row>
    <row r="331" spans="1:17" ht="14.4" x14ac:dyDescent="0.25">
      <c r="A331" s="150">
        <v>29.09</v>
      </c>
      <c r="B331" s="260" t="s">
        <v>168</v>
      </c>
      <c r="C331" s="34">
        <f t="shared" si="228"/>
        <v>77.571000000000012</v>
      </c>
      <c r="D331" s="131">
        <f>33.68-(3+1.95)</f>
        <v>28.73</v>
      </c>
      <c r="E331" s="17">
        <v>2.7</v>
      </c>
      <c r="F331" s="33">
        <v>1</v>
      </c>
      <c r="G331" s="261"/>
      <c r="H331" s="65"/>
      <c r="I331" s="42"/>
      <c r="J331" s="43"/>
      <c r="K331" s="43"/>
      <c r="L331" s="43">
        <f>C331</f>
        <v>77.571000000000012</v>
      </c>
      <c r="M331" s="43"/>
      <c r="N331" s="43"/>
      <c r="O331" s="43"/>
      <c r="P331" s="43"/>
      <c r="Q331" s="43"/>
    </row>
    <row r="332" spans="1:17" ht="14.4" x14ac:dyDescent="0.25">
      <c r="A332" s="150"/>
      <c r="B332" s="260"/>
      <c r="C332" s="34">
        <f t="shared" si="228"/>
        <v>5.2650000000000006</v>
      </c>
      <c r="D332" s="131">
        <v>1.95</v>
      </c>
      <c r="E332" s="17">
        <v>2.7</v>
      </c>
      <c r="F332" s="33">
        <v>1</v>
      </c>
      <c r="G332" s="261"/>
      <c r="H332" s="65">
        <f t="shared" ref="H332" si="302">C332</f>
        <v>5.2650000000000006</v>
      </c>
      <c r="I332" s="42">
        <f t="shared" ref="I332" si="303">H332-J332</f>
        <v>5.2650000000000006</v>
      </c>
      <c r="J332" s="43"/>
      <c r="K332" s="43"/>
      <c r="L332" s="43">
        <f t="shared" ref="L332" si="304">I332</f>
        <v>5.2650000000000006</v>
      </c>
      <c r="M332" s="43"/>
      <c r="N332" s="43"/>
      <c r="O332" s="43"/>
      <c r="P332" s="43"/>
      <c r="Q332" s="43"/>
    </row>
    <row r="333" spans="1:17" ht="14.4" x14ac:dyDescent="0.25">
      <c r="A333" s="150">
        <v>6.74</v>
      </c>
      <c r="B333" s="260" t="s">
        <v>372</v>
      </c>
      <c r="C333" s="34">
        <f t="shared" si="228"/>
        <v>21.789000000000001</v>
      </c>
      <c r="D333" s="131">
        <v>10.57</v>
      </c>
      <c r="E333" s="17">
        <v>2.7</v>
      </c>
      <c r="F333" s="33">
        <v>1</v>
      </c>
      <c r="G333" s="261">
        <v>6.75</v>
      </c>
      <c r="H333" s="65"/>
      <c r="I333" s="42"/>
      <c r="J333" s="43"/>
      <c r="K333" s="43"/>
      <c r="L333" s="43">
        <f>C333</f>
        <v>21.789000000000001</v>
      </c>
      <c r="M333" s="43"/>
      <c r="N333" s="43"/>
      <c r="O333" s="43"/>
      <c r="P333" s="43"/>
      <c r="Q333" s="43"/>
    </row>
    <row r="334" spans="1:17" ht="14.4" x14ac:dyDescent="0.25">
      <c r="A334" s="150">
        <v>6.96</v>
      </c>
      <c r="B334" s="260" t="s">
        <v>372</v>
      </c>
      <c r="C334" s="34">
        <f t="shared" si="228"/>
        <v>75.330000000000013</v>
      </c>
      <c r="D334" s="131">
        <f>10.57-5.28</f>
        <v>5.29</v>
      </c>
      <c r="E334" s="17">
        <v>2.7</v>
      </c>
      <c r="F334" s="33">
        <v>10</v>
      </c>
      <c r="G334" s="261">
        <v>67.5</v>
      </c>
      <c r="H334" s="65"/>
      <c r="I334" s="42"/>
      <c r="J334" s="43"/>
      <c r="K334" s="43"/>
      <c r="L334" s="43">
        <f>C334</f>
        <v>75.330000000000013</v>
      </c>
      <c r="M334" s="43"/>
      <c r="N334" s="43"/>
      <c r="O334" s="43"/>
      <c r="P334" s="43"/>
      <c r="Q334" s="43"/>
    </row>
    <row r="335" spans="1:17" ht="14.4" x14ac:dyDescent="0.25">
      <c r="A335" s="150"/>
      <c r="B335" s="260"/>
      <c r="C335" s="34">
        <f t="shared" si="228"/>
        <v>20.25</v>
      </c>
      <c r="D335" s="131">
        <v>2.5</v>
      </c>
      <c r="E335" s="17">
        <v>2.7</v>
      </c>
      <c r="F335" s="33">
        <v>3</v>
      </c>
      <c r="G335" s="261"/>
      <c r="H335" s="65">
        <f t="shared" ref="H335" si="305">C335</f>
        <v>20.25</v>
      </c>
      <c r="I335" s="42">
        <f t="shared" ref="I335" si="306">H335-J335</f>
        <v>20.25</v>
      </c>
      <c r="J335" s="43"/>
      <c r="K335" s="43"/>
      <c r="L335" s="43">
        <f t="shared" ref="L335" si="307">I335</f>
        <v>20.25</v>
      </c>
      <c r="M335" s="43"/>
      <c r="N335" s="43"/>
      <c r="O335" s="43"/>
      <c r="P335" s="43"/>
      <c r="Q335" s="43"/>
    </row>
    <row r="336" spans="1:17" ht="14.4" x14ac:dyDescent="0.25">
      <c r="A336" s="150"/>
      <c r="B336" s="260"/>
      <c r="C336" s="34">
        <f t="shared" si="228"/>
        <v>7.5060000000000002</v>
      </c>
      <c r="D336" s="131">
        <v>2.78</v>
      </c>
      <c r="E336" s="17">
        <v>2.7</v>
      </c>
      <c r="F336" s="33">
        <v>1</v>
      </c>
      <c r="G336" s="261"/>
      <c r="H336" s="65">
        <f t="shared" ref="H336" si="308">C336</f>
        <v>7.5060000000000002</v>
      </c>
      <c r="I336" s="42">
        <f t="shared" ref="I336" si="309">H336-J336</f>
        <v>7.5060000000000002</v>
      </c>
      <c r="J336" s="43"/>
      <c r="K336" s="43"/>
      <c r="L336" s="43">
        <f t="shared" ref="L336" si="310">I336</f>
        <v>7.5060000000000002</v>
      </c>
      <c r="M336" s="43"/>
      <c r="N336" s="43"/>
      <c r="O336" s="43"/>
      <c r="P336" s="43"/>
      <c r="Q336" s="43"/>
    </row>
    <row r="337" spans="1:18" ht="14.4" x14ac:dyDescent="0.25">
      <c r="A337" s="150">
        <v>6.95</v>
      </c>
      <c r="B337" s="260" t="s">
        <v>372</v>
      </c>
      <c r="C337" s="34">
        <f t="shared" si="228"/>
        <v>22.599000000000004</v>
      </c>
      <c r="D337" s="131">
        <f>10.57-5.28</f>
        <v>5.29</v>
      </c>
      <c r="E337" s="17">
        <v>2.7</v>
      </c>
      <c r="F337" s="33">
        <v>3</v>
      </c>
      <c r="G337" s="261">
        <v>20.25</v>
      </c>
      <c r="H337" s="65"/>
      <c r="I337" s="42"/>
      <c r="J337" s="43"/>
      <c r="K337" s="43"/>
      <c r="L337" s="43">
        <f>C337</f>
        <v>22.599000000000004</v>
      </c>
      <c r="M337" s="43"/>
      <c r="N337" s="43"/>
      <c r="O337" s="43"/>
      <c r="P337" s="43"/>
      <c r="Q337" s="43"/>
    </row>
    <row r="338" spans="1:18" ht="14.4" x14ac:dyDescent="0.25">
      <c r="A338" s="150"/>
      <c r="B338" s="260"/>
      <c r="C338" s="34">
        <f t="shared" si="228"/>
        <v>22.518000000000001</v>
      </c>
      <c r="D338" s="131">
        <v>2.78</v>
      </c>
      <c r="E338" s="17">
        <v>2.7</v>
      </c>
      <c r="F338" s="33">
        <v>3</v>
      </c>
      <c r="G338" s="261"/>
      <c r="H338" s="65">
        <f t="shared" ref="H338:H339" si="311">C338</f>
        <v>22.518000000000001</v>
      </c>
      <c r="I338" s="42">
        <f t="shared" ref="I338:I339" si="312">H338-J338</f>
        <v>22.518000000000001</v>
      </c>
      <c r="J338" s="43"/>
      <c r="K338" s="43"/>
      <c r="L338" s="43">
        <f t="shared" ref="L338:L339" si="313">I338</f>
        <v>22.518000000000001</v>
      </c>
      <c r="M338" s="43"/>
      <c r="N338" s="43"/>
      <c r="O338" s="43"/>
      <c r="P338" s="43"/>
      <c r="Q338" s="43"/>
    </row>
    <row r="339" spans="1:18" ht="14.4" x14ac:dyDescent="0.25">
      <c r="A339" s="150"/>
      <c r="B339" s="260"/>
      <c r="C339" s="34">
        <f t="shared" si="228"/>
        <v>6.75</v>
      </c>
      <c r="D339" s="131">
        <v>2.5</v>
      </c>
      <c r="E339" s="17">
        <v>2.7</v>
      </c>
      <c r="F339" s="33">
        <v>1</v>
      </c>
      <c r="G339" s="261"/>
      <c r="H339" s="65">
        <f t="shared" si="311"/>
        <v>6.75</v>
      </c>
      <c r="I339" s="42">
        <f t="shared" si="312"/>
        <v>6.75</v>
      </c>
      <c r="J339" s="43"/>
      <c r="K339" s="43"/>
      <c r="L339" s="43">
        <f t="shared" si="313"/>
        <v>6.75</v>
      </c>
      <c r="M339" s="43"/>
      <c r="N339" s="43"/>
      <c r="O339" s="43"/>
      <c r="P339" s="43"/>
      <c r="Q339" s="43"/>
    </row>
    <row r="340" spans="1:18" ht="14.4" x14ac:dyDescent="0.25">
      <c r="A340" s="150">
        <v>15.9</v>
      </c>
      <c r="B340" s="260" t="s">
        <v>168</v>
      </c>
      <c r="C340" s="34">
        <f t="shared" si="228"/>
        <v>6.480000000000004</v>
      </c>
      <c r="D340" s="131">
        <f>24.2-(4+1.5)</f>
        <v>18.7</v>
      </c>
      <c r="E340" s="17">
        <v>2.7</v>
      </c>
      <c r="F340" s="33">
        <v>2</v>
      </c>
      <c r="G340" s="261">
        <v>94.5</v>
      </c>
      <c r="H340" s="65"/>
      <c r="I340" s="42"/>
      <c r="J340" s="43"/>
      <c r="K340" s="43"/>
      <c r="L340" s="43">
        <f>C340</f>
        <v>6.480000000000004</v>
      </c>
      <c r="M340" s="43"/>
      <c r="N340" s="43"/>
      <c r="O340" s="43"/>
      <c r="P340" s="43"/>
      <c r="Q340" s="43"/>
    </row>
    <row r="341" spans="1:18" ht="14.4" x14ac:dyDescent="0.25">
      <c r="A341" s="150"/>
      <c r="B341" s="260"/>
      <c r="C341" s="34">
        <f t="shared" si="228"/>
        <v>8.1000000000000014</v>
      </c>
      <c r="D341" s="131">
        <v>1.5</v>
      </c>
      <c r="E341" s="17">
        <v>2.7</v>
      </c>
      <c r="F341" s="33">
        <v>2</v>
      </c>
      <c r="G341" s="261"/>
      <c r="H341" s="65">
        <f t="shared" ref="H341" si="314">C341</f>
        <v>8.1000000000000014</v>
      </c>
      <c r="I341" s="42">
        <f t="shared" ref="I341" si="315">H341-J341</f>
        <v>8.1000000000000014</v>
      </c>
      <c r="J341" s="43"/>
      <c r="K341" s="43"/>
      <c r="L341" s="43">
        <f t="shared" ref="L341" si="316">I341</f>
        <v>8.1000000000000014</v>
      </c>
      <c r="M341" s="43"/>
      <c r="N341" s="43"/>
      <c r="O341" s="43"/>
      <c r="P341" s="43"/>
      <c r="Q341" s="43"/>
    </row>
    <row r="342" spans="1:18" ht="14.4" x14ac:dyDescent="0.25">
      <c r="A342" s="150">
        <v>7.02</v>
      </c>
      <c r="B342" s="260" t="s">
        <v>373</v>
      </c>
      <c r="C342" s="34">
        <f t="shared" si="228"/>
        <v>22.599</v>
      </c>
      <c r="D342" s="131">
        <f>10.87-2.5</f>
        <v>8.3699999999999992</v>
      </c>
      <c r="E342" s="17">
        <v>2.7</v>
      </c>
      <c r="F342" s="33">
        <v>1</v>
      </c>
      <c r="G342" s="261"/>
      <c r="H342" s="65"/>
      <c r="I342" s="42"/>
      <c r="J342" s="43"/>
      <c r="K342" s="43"/>
      <c r="L342" s="43">
        <f t="shared" ref="L342:L343" si="317">C342</f>
        <v>22.599</v>
      </c>
      <c r="M342" s="43"/>
      <c r="N342" s="43"/>
      <c r="O342" s="43"/>
      <c r="P342" s="43"/>
      <c r="Q342" s="43"/>
    </row>
    <row r="343" spans="1:18" ht="14.4" x14ac:dyDescent="0.25">
      <c r="A343" s="150">
        <v>7.33</v>
      </c>
      <c r="B343" s="260" t="s">
        <v>373</v>
      </c>
      <c r="C343" s="34">
        <f t="shared" si="228"/>
        <v>22.599</v>
      </c>
      <c r="D343" s="131">
        <f>10.87-2.5</f>
        <v>8.3699999999999992</v>
      </c>
      <c r="E343" s="17">
        <v>2.7</v>
      </c>
      <c r="F343" s="33">
        <v>1</v>
      </c>
      <c r="G343" s="261"/>
      <c r="H343" s="65"/>
      <c r="I343" s="42"/>
      <c r="J343" s="43"/>
      <c r="K343" s="43"/>
      <c r="L343" s="43">
        <f t="shared" si="317"/>
        <v>22.599</v>
      </c>
      <c r="M343" s="43"/>
      <c r="N343" s="43"/>
      <c r="O343" s="43"/>
      <c r="P343" s="43"/>
      <c r="Q343" s="43"/>
    </row>
    <row r="344" spans="1:18" ht="19.95" customHeight="1" x14ac:dyDescent="0.25">
      <c r="A344" s="151"/>
      <c r="B344" s="256" t="s">
        <v>22</v>
      </c>
      <c r="C344" s="255">
        <f>SUM(C264:C343)</f>
        <v>2112.9789999999998</v>
      </c>
      <c r="D344" s="255"/>
      <c r="E344" s="255"/>
      <c r="F344" s="255"/>
      <c r="G344" s="255"/>
      <c r="H344" s="255">
        <f t="shared" ref="H344:Q344" si="318">SUM(H264:H343)</f>
        <v>633.33300000000008</v>
      </c>
      <c r="I344" s="255">
        <f t="shared" si="318"/>
        <v>541.05750000000012</v>
      </c>
      <c r="J344" s="255">
        <f t="shared" si="318"/>
        <v>92.275499999999994</v>
      </c>
      <c r="K344" s="255">
        <f t="shared" si="318"/>
        <v>0</v>
      </c>
      <c r="L344" s="255">
        <f t="shared" si="318"/>
        <v>1563.0259999999996</v>
      </c>
      <c r="M344" s="255">
        <f t="shared" si="318"/>
        <v>136.5985</v>
      </c>
      <c r="N344" s="255">
        <f t="shared" si="318"/>
        <v>0</v>
      </c>
      <c r="O344" s="255">
        <f t="shared" si="318"/>
        <v>0</v>
      </c>
      <c r="P344" s="255">
        <f t="shared" si="318"/>
        <v>397.33839999999998</v>
      </c>
      <c r="Q344" s="255">
        <f t="shared" si="318"/>
        <v>16.016099999999998</v>
      </c>
      <c r="R344" s="1"/>
    </row>
    <row r="345" spans="1:18" ht="19.95" customHeight="1" x14ac:dyDescent="0.25">
      <c r="A345" s="151"/>
      <c r="B345" s="257"/>
      <c r="C345" s="127"/>
      <c r="D345" s="127"/>
      <c r="E345" s="127"/>
      <c r="F345" s="127"/>
      <c r="G345" s="127"/>
      <c r="H345" s="127"/>
      <c r="I345" s="127"/>
      <c r="J345" s="127"/>
      <c r="K345" s="127"/>
      <c r="L345" s="258">
        <v>1</v>
      </c>
      <c r="M345" s="258">
        <v>4</v>
      </c>
      <c r="N345" s="258">
        <v>5</v>
      </c>
      <c r="O345" s="258">
        <v>6</v>
      </c>
      <c r="P345" s="258">
        <v>3</v>
      </c>
      <c r="Q345" s="259">
        <v>2</v>
      </c>
    </row>
    <row r="346" spans="1:18" ht="40.049999999999997" customHeight="1" x14ac:dyDescent="0.25">
      <c r="B346" s="843" t="s">
        <v>16</v>
      </c>
      <c r="C346" s="839" t="s">
        <v>17</v>
      </c>
      <c r="D346" s="839" t="s">
        <v>18</v>
      </c>
      <c r="E346" s="839" t="s">
        <v>28</v>
      </c>
      <c r="F346" s="842" t="s">
        <v>19</v>
      </c>
      <c r="G346" s="842" t="s">
        <v>13</v>
      </c>
      <c r="H346" s="842" t="s">
        <v>24</v>
      </c>
      <c r="I346" s="842" t="s">
        <v>45</v>
      </c>
      <c r="J346" s="842" t="s">
        <v>26</v>
      </c>
      <c r="K346" s="844" t="s">
        <v>864</v>
      </c>
      <c r="L346" s="842" t="s">
        <v>69</v>
      </c>
      <c r="M346" s="842" t="s">
        <v>73</v>
      </c>
      <c r="N346" s="842" t="s">
        <v>76</v>
      </c>
      <c r="O346" s="842" t="s">
        <v>77</v>
      </c>
      <c r="P346" s="842" t="s">
        <v>72</v>
      </c>
      <c r="Q346" s="842" t="s">
        <v>70</v>
      </c>
    </row>
    <row r="347" spans="1:18" ht="40.049999999999997" customHeight="1" x14ac:dyDescent="0.25">
      <c r="B347" s="840"/>
      <c r="C347" s="841"/>
      <c r="D347" s="841"/>
      <c r="E347" s="841"/>
      <c r="F347" s="839"/>
      <c r="G347" s="839"/>
      <c r="H347" s="839"/>
      <c r="I347" s="839"/>
      <c r="J347" s="839"/>
      <c r="K347" s="845"/>
      <c r="L347" s="839"/>
      <c r="M347" s="839"/>
      <c r="N347" s="839"/>
      <c r="O347" s="839"/>
      <c r="P347" s="839"/>
      <c r="Q347" s="839"/>
    </row>
    <row r="348" spans="1:18" ht="15.6" x14ac:dyDescent="0.25">
      <c r="A348" s="141" t="s">
        <v>65</v>
      </c>
      <c r="B348" s="59" t="s">
        <v>60</v>
      </c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1"/>
    </row>
    <row r="349" spans="1:18" ht="15.6" x14ac:dyDescent="0.25">
      <c r="A349" s="560">
        <v>11.67</v>
      </c>
      <c r="B349" s="220" t="s">
        <v>168</v>
      </c>
      <c r="C349" s="34">
        <f t="shared" ref="C349:C354" si="319">D349*E349*F349-G349</f>
        <v>20.037000000000003</v>
      </c>
      <c r="D349" s="576">
        <f>14.83-4.52</f>
        <v>10.31</v>
      </c>
      <c r="E349" s="578">
        <v>2.7</v>
      </c>
      <c r="F349" s="33">
        <v>1</v>
      </c>
      <c r="G349" s="575">
        <v>7.8</v>
      </c>
      <c r="H349" s="65">
        <f t="shared" ref="H349" si="320">C349</f>
        <v>20.037000000000003</v>
      </c>
      <c r="I349" s="42">
        <f t="shared" ref="I349" si="321">H349-J349</f>
        <v>20.037000000000003</v>
      </c>
      <c r="J349" s="43"/>
      <c r="K349" s="43"/>
      <c r="L349" s="43">
        <f>I349</f>
        <v>20.037000000000003</v>
      </c>
      <c r="M349" s="598"/>
      <c r="N349" s="598"/>
      <c r="O349" s="598"/>
      <c r="P349" s="598"/>
      <c r="Q349" s="598"/>
    </row>
    <row r="350" spans="1:18" ht="15.6" x14ac:dyDescent="0.25">
      <c r="A350" s="559"/>
      <c r="B350" s="157"/>
      <c r="C350" s="34">
        <f t="shared" si="319"/>
        <v>5.0639999999999992</v>
      </c>
      <c r="D350" s="576">
        <v>4.5199999999999996</v>
      </c>
      <c r="E350" s="578">
        <v>2.7</v>
      </c>
      <c r="F350" s="33">
        <v>1</v>
      </c>
      <c r="G350" s="575">
        <v>7.14</v>
      </c>
      <c r="H350" s="598"/>
      <c r="I350" s="598"/>
      <c r="J350" s="598"/>
      <c r="K350" s="598"/>
      <c r="L350" s="578">
        <f>C350</f>
        <v>5.0639999999999992</v>
      </c>
      <c r="M350" s="598"/>
      <c r="N350" s="598"/>
      <c r="O350" s="598"/>
      <c r="P350" s="598"/>
      <c r="Q350" s="598"/>
    </row>
    <row r="351" spans="1:18" ht="15.6" x14ac:dyDescent="0.25">
      <c r="A351" s="560">
        <v>-30.45</v>
      </c>
      <c r="B351" s="220" t="s">
        <v>258</v>
      </c>
      <c r="C351" s="34">
        <f t="shared" si="319"/>
        <v>66.426000000000002</v>
      </c>
      <c r="D351" s="576">
        <v>28.18</v>
      </c>
      <c r="E351" s="578">
        <v>2.7</v>
      </c>
      <c r="F351" s="33">
        <v>1</v>
      </c>
      <c r="G351" s="575">
        <v>9.66</v>
      </c>
      <c r="H351" s="65">
        <f t="shared" ref="H351" si="322">C351</f>
        <v>66.426000000000002</v>
      </c>
      <c r="I351" s="42">
        <f t="shared" ref="I351" si="323">H351-J351</f>
        <v>66.426000000000002</v>
      </c>
      <c r="J351" s="43"/>
      <c r="K351" s="43"/>
      <c r="L351" s="43">
        <f>I351</f>
        <v>66.426000000000002</v>
      </c>
      <c r="M351" s="598"/>
      <c r="N351" s="598"/>
      <c r="O351" s="598"/>
      <c r="P351" s="598"/>
      <c r="Q351" s="598"/>
    </row>
    <row r="352" spans="1:18" ht="15.6" x14ac:dyDescent="0.25">
      <c r="A352" s="559"/>
      <c r="B352" s="157"/>
      <c r="C352" s="34">
        <f t="shared" si="319"/>
        <v>1.6919999999999993</v>
      </c>
      <c r="D352" s="576">
        <v>2.2599999999999998</v>
      </c>
      <c r="E352" s="578">
        <v>2.7</v>
      </c>
      <c r="F352" s="33">
        <v>1</v>
      </c>
      <c r="G352" s="575">
        <v>4.41</v>
      </c>
      <c r="H352" s="598"/>
      <c r="I352" s="598"/>
      <c r="J352" s="598"/>
      <c r="K352" s="598"/>
      <c r="L352" s="578">
        <f>C352</f>
        <v>1.6919999999999993</v>
      </c>
      <c r="M352" s="598"/>
      <c r="N352" s="598"/>
      <c r="O352" s="598"/>
      <c r="P352" s="598"/>
      <c r="Q352" s="598"/>
    </row>
    <row r="353" spans="1:17" ht="15.6" x14ac:dyDescent="0.25">
      <c r="A353" s="559">
        <v>43.48</v>
      </c>
      <c r="B353" s="157" t="s">
        <v>346</v>
      </c>
      <c r="C353" s="34">
        <f t="shared" si="319"/>
        <v>90.49</v>
      </c>
      <c r="D353" s="576">
        <v>27.85</v>
      </c>
      <c r="E353" s="578">
        <v>3.4</v>
      </c>
      <c r="F353" s="33">
        <v>1</v>
      </c>
      <c r="G353" s="600">
        <v>4.2</v>
      </c>
      <c r="H353" s="65">
        <f t="shared" ref="H353" si="324">C353</f>
        <v>90.49</v>
      </c>
      <c r="I353" s="42">
        <f t="shared" ref="I353" si="325">H353-J353</f>
        <v>90.49</v>
      </c>
      <c r="J353" s="43"/>
      <c r="K353" s="43"/>
      <c r="L353" s="43"/>
      <c r="M353" s="578">
        <f>I353</f>
        <v>90.49</v>
      </c>
      <c r="N353" s="598"/>
      <c r="O353" s="598"/>
      <c r="P353" s="598"/>
      <c r="Q353" s="598"/>
    </row>
    <row r="354" spans="1:17" ht="15.6" x14ac:dyDescent="0.25">
      <c r="A354" s="559">
        <v>7.45</v>
      </c>
      <c r="B354" s="157" t="s">
        <v>724</v>
      </c>
      <c r="C354" s="34">
        <f t="shared" si="319"/>
        <v>37.708500000000001</v>
      </c>
      <c r="D354" s="576">
        <v>10.93</v>
      </c>
      <c r="E354" s="578">
        <v>3.45</v>
      </c>
      <c r="F354" s="33">
        <v>1</v>
      </c>
      <c r="G354" s="575"/>
      <c r="H354" s="598"/>
      <c r="I354" s="598"/>
      <c r="J354" s="598"/>
      <c r="K354" s="598"/>
      <c r="L354" s="598"/>
      <c r="M354" s="598"/>
      <c r="N354" s="598"/>
      <c r="O354" s="598"/>
      <c r="P354" s="598"/>
      <c r="Q354" s="598"/>
    </row>
    <row r="355" spans="1:17" ht="15.6" x14ac:dyDescent="0.25">
      <c r="A355" s="559">
        <v>8.23</v>
      </c>
      <c r="B355" s="157" t="s">
        <v>725</v>
      </c>
      <c r="C355" s="34">
        <f t="shared" ref="C355:C358" si="326">D355*E355*F355-G355</f>
        <v>39.882000000000005</v>
      </c>
      <c r="D355" s="576">
        <v>11.56</v>
      </c>
      <c r="E355" s="578">
        <v>3.45</v>
      </c>
      <c r="F355" s="33">
        <v>1</v>
      </c>
      <c r="G355" s="575"/>
      <c r="H355" s="598"/>
      <c r="I355" s="598"/>
      <c r="J355" s="598"/>
      <c r="K355" s="598"/>
      <c r="L355" s="598"/>
      <c r="M355" s="598"/>
      <c r="N355" s="598"/>
      <c r="O355" s="598"/>
      <c r="P355" s="598"/>
      <c r="Q355" s="598"/>
    </row>
    <row r="356" spans="1:17" ht="15.6" x14ac:dyDescent="0.25">
      <c r="A356" s="563">
        <v>3.9</v>
      </c>
      <c r="B356" s="157" t="s">
        <v>726</v>
      </c>
      <c r="C356" s="34">
        <f t="shared" si="326"/>
        <v>28.738500000000002</v>
      </c>
      <c r="D356" s="576">
        <v>8.33</v>
      </c>
      <c r="E356" s="578">
        <v>3.45</v>
      </c>
      <c r="F356" s="33">
        <v>1</v>
      </c>
      <c r="G356" s="575"/>
      <c r="H356" s="65">
        <f t="shared" ref="H356:H358" si="327">C356</f>
        <v>28.738500000000002</v>
      </c>
      <c r="I356" s="42">
        <f t="shared" ref="I356:I358" si="328">H356-J356</f>
        <v>28.738500000000002</v>
      </c>
      <c r="J356" s="598"/>
      <c r="K356" s="598"/>
      <c r="L356" s="598"/>
      <c r="M356" s="598"/>
      <c r="N356" s="598"/>
      <c r="O356" s="598"/>
      <c r="P356" s="598"/>
      <c r="Q356" s="598"/>
    </row>
    <row r="357" spans="1:17" ht="15.6" x14ac:dyDescent="0.25">
      <c r="A357" s="563">
        <v>3.28</v>
      </c>
      <c r="B357" s="157" t="s">
        <v>229</v>
      </c>
      <c r="C357" s="34">
        <f t="shared" si="326"/>
        <v>53.475000000000001</v>
      </c>
      <c r="D357" s="578">
        <v>15.5</v>
      </c>
      <c r="E357" s="578">
        <v>3.45</v>
      </c>
      <c r="F357" s="33">
        <v>1</v>
      </c>
      <c r="G357" s="575"/>
      <c r="H357" s="65">
        <f t="shared" si="327"/>
        <v>53.475000000000001</v>
      </c>
      <c r="I357" s="42">
        <f t="shared" si="328"/>
        <v>53.475000000000001</v>
      </c>
      <c r="J357" s="598"/>
      <c r="K357" s="598"/>
      <c r="L357" s="598"/>
      <c r="M357" s="598"/>
      <c r="N357" s="598"/>
      <c r="O357" s="598"/>
      <c r="P357" s="598"/>
      <c r="Q357" s="598"/>
    </row>
    <row r="358" spans="1:17" ht="15.6" x14ac:dyDescent="0.25">
      <c r="A358" s="563">
        <v>0.56000000000000005</v>
      </c>
      <c r="B358" s="157" t="s">
        <v>229</v>
      </c>
      <c r="C358" s="34">
        <f t="shared" si="326"/>
        <v>17.560500000000001</v>
      </c>
      <c r="D358" s="576">
        <v>5.09</v>
      </c>
      <c r="E358" s="578">
        <v>3.45</v>
      </c>
      <c r="F358" s="33">
        <v>1</v>
      </c>
      <c r="G358" s="575"/>
      <c r="H358" s="65">
        <f t="shared" si="327"/>
        <v>17.560500000000001</v>
      </c>
      <c r="I358" s="42">
        <f t="shared" si="328"/>
        <v>17.560500000000001</v>
      </c>
      <c r="J358" s="598"/>
      <c r="K358" s="598"/>
      <c r="L358" s="598"/>
      <c r="M358" s="598"/>
      <c r="N358" s="598"/>
      <c r="O358" s="598"/>
      <c r="P358" s="598"/>
      <c r="Q358" s="598"/>
    </row>
    <row r="359" spans="1:17" ht="14.4" x14ac:dyDescent="0.25">
      <c r="A359" s="150">
        <v>19.13</v>
      </c>
      <c r="B359" s="15" t="s">
        <v>205</v>
      </c>
      <c r="C359" s="34">
        <f t="shared" ref="C359:C447" si="329">D359*E359*F359-G359</f>
        <v>13.163999999999998</v>
      </c>
      <c r="D359" s="131">
        <f>17.95-9.63</f>
        <v>8.3199999999999985</v>
      </c>
      <c r="E359" s="17">
        <v>2.7</v>
      </c>
      <c r="F359" s="33">
        <v>1</v>
      </c>
      <c r="G359" s="45">
        <v>9.3000000000000007</v>
      </c>
      <c r="H359" s="65"/>
      <c r="I359" s="42"/>
      <c r="J359" s="43"/>
      <c r="K359" s="43"/>
      <c r="L359" s="43">
        <f>C359</f>
        <v>13.163999999999998</v>
      </c>
      <c r="M359" s="43"/>
      <c r="N359" s="43"/>
      <c r="O359" s="43"/>
      <c r="P359" s="43"/>
      <c r="Q359" s="43"/>
    </row>
    <row r="360" spans="1:17" ht="14.4" x14ac:dyDescent="0.25">
      <c r="A360" s="150"/>
      <c r="B360" s="15"/>
      <c r="C360" s="34">
        <f t="shared" si="329"/>
        <v>26.001000000000005</v>
      </c>
      <c r="D360" s="131">
        <v>9.6300000000000008</v>
      </c>
      <c r="E360" s="17">
        <v>2.7</v>
      </c>
      <c r="F360" s="33">
        <v>1</v>
      </c>
      <c r="G360" s="45"/>
      <c r="H360" s="65">
        <f t="shared" ref="H360" si="330">C360</f>
        <v>26.001000000000005</v>
      </c>
      <c r="I360" s="42">
        <f t="shared" ref="I360" si="331">H360-J360</f>
        <v>26.001000000000005</v>
      </c>
      <c r="J360" s="43"/>
      <c r="K360" s="43"/>
      <c r="L360" s="43">
        <f>I360</f>
        <v>26.001000000000005</v>
      </c>
      <c r="M360" s="43"/>
      <c r="N360" s="43"/>
      <c r="O360" s="43"/>
      <c r="P360" s="43"/>
      <c r="Q360" s="43"/>
    </row>
    <row r="361" spans="1:17" ht="14.4" x14ac:dyDescent="0.25">
      <c r="A361" s="150">
        <v>0.45</v>
      </c>
      <c r="B361" s="15" t="s">
        <v>229</v>
      </c>
      <c r="C361" s="34">
        <f t="shared" si="329"/>
        <v>3.8699999999999997</v>
      </c>
      <c r="D361" s="131">
        <f>3.86-1.93</f>
        <v>1.93</v>
      </c>
      <c r="E361" s="17">
        <v>4</v>
      </c>
      <c r="F361" s="33">
        <v>1</v>
      </c>
      <c r="G361" s="45">
        <v>3.85</v>
      </c>
      <c r="H361" s="65"/>
      <c r="I361" s="42"/>
      <c r="J361" s="43"/>
      <c r="K361" s="43"/>
      <c r="L361" s="43">
        <f>C361</f>
        <v>3.8699999999999997</v>
      </c>
      <c r="M361" s="43"/>
      <c r="N361" s="43"/>
      <c r="O361" s="43"/>
      <c r="P361" s="43"/>
      <c r="Q361" s="43"/>
    </row>
    <row r="362" spans="1:17" ht="14.4" x14ac:dyDescent="0.25">
      <c r="A362" s="150"/>
      <c r="B362" s="15"/>
      <c r="C362" s="34">
        <f t="shared" si="329"/>
        <v>7.72</v>
      </c>
      <c r="D362" s="131">
        <v>1.93</v>
      </c>
      <c r="E362" s="17">
        <v>4</v>
      </c>
      <c r="F362" s="33">
        <v>1</v>
      </c>
      <c r="G362" s="45"/>
      <c r="H362" s="65">
        <f t="shared" ref="H362" si="332">C362</f>
        <v>7.72</v>
      </c>
      <c r="I362" s="42">
        <f t="shared" ref="I362" si="333">H362-J362</f>
        <v>7.72</v>
      </c>
      <c r="J362" s="43"/>
      <c r="K362" s="43"/>
      <c r="L362" s="43">
        <f>I362</f>
        <v>7.72</v>
      </c>
      <c r="M362" s="43"/>
      <c r="N362" s="43"/>
      <c r="O362" s="43"/>
      <c r="P362" s="43"/>
      <c r="Q362" s="43"/>
    </row>
    <row r="363" spans="1:17" ht="14.4" x14ac:dyDescent="0.25">
      <c r="A363" s="150">
        <v>9.25</v>
      </c>
      <c r="B363" s="15" t="s">
        <v>168</v>
      </c>
      <c r="C363" s="34">
        <f t="shared" si="329"/>
        <v>8.4400000000000013</v>
      </c>
      <c r="D363" s="131">
        <f>12.74-(2.84+3.5)</f>
        <v>6.4</v>
      </c>
      <c r="E363" s="17">
        <v>2.7</v>
      </c>
      <c r="F363" s="33">
        <v>1</v>
      </c>
      <c r="G363" s="45">
        <v>8.84</v>
      </c>
      <c r="H363" s="65"/>
      <c r="I363" s="42"/>
      <c r="J363" s="43"/>
      <c r="K363" s="43"/>
      <c r="L363" s="43">
        <f>C363</f>
        <v>8.4400000000000013</v>
      </c>
      <c r="M363" s="43"/>
      <c r="N363" s="43"/>
      <c r="O363" s="43"/>
      <c r="P363" s="43"/>
      <c r="Q363" s="43"/>
    </row>
    <row r="364" spans="1:17" ht="14.4" x14ac:dyDescent="0.25">
      <c r="A364" s="150"/>
      <c r="B364" s="15"/>
      <c r="C364" s="34">
        <f t="shared" si="329"/>
        <v>9.4500000000000011</v>
      </c>
      <c r="D364" s="131">
        <v>3.5</v>
      </c>
      <c r="E364" s="17">
        <v>2.7</v>
      </c>
      <c r="F364" s="33">
        <v>1</v>
      </c>
      <c r="G364" s="45"/>
      <c r="H364" s="65">
        <f t="shared" ref="H364" si="334">C364</f>
        <v>9.4500000000000011</v>
      </c>
      <c r="I364" s="42">
        <f t="shared" ref="I364" si="335">H364-J364</f>
        <v>9.4500000000000011</v>
      </c>
      <c r="J364" s="43"/>
      <c r="K364" s="43"/>
      <c r="L364" s="43">
        <f t="shared" ref="L364" si="336">I364</f>
        <v>9.4500000000000011</v>
      </c>
      <c r="M364" s="43"/>
      <c r="N364" s="43"/>
      <c r="O364" s="43"/>
      <c r="P364" s="43"/>
      <c r="Q364" s="43"/>
    </row>
    <row r="365" spans="1:17" ht="14.4" x14ac:dyDescent="0.25">
      <c r="A365" s="150">
        <v>3.03</v>
      </c>
      <c r="B365" s="15" t="s">
        <v>229</v>
      </c>
      <c r="C365" s="34">
        <f t="shared" si="329"/>
        <v>15.810000000000002</v>
      </c>
      <c r="D365" s="131">
        <f>8.51-3.03</f>
        <v>5.48</v>
      </c>
      <c r="E365" s="17">
        <v>4</v>
      </c>
      <c r="F365" s="33">
        <v>1</v>
      </c>
      <c r="G365" s="45">
        <v>6.11</v>
      </c>
      <c r="H365" s="65"/>
      <c r="I365" s="42"/>
      <c r="J365" s="43"/>
      <c r="K365" s="43"/>
      <c r="L365" s="43">
        <f>C365</f>
        <v>15.810000000000002</v>
      </c>
      <c r="M365" s="43"/>
      <c r="N365" s="43"/>
      <c r="O365" s="43"/>
      <c r="P365" s="43"/>
      <c r="Q365" s="43"/>
    </row>
    <row r="366" spans="1:17" ht="14.4" x14ac:dyDescent="0.25">
      <c r="A366" s="150"/>
      <c r="B366" s="15"/>
      <c r="C366" s="34">
        <f t="shared" si="329"/>
        <v>12.12</v>
      </c>
      <c r="D366" s="131">
        <v>3.03</v>
      </c>
      <c r="E366" s="17">
        <v>4</v>
      </c>
      <c r="F366" s="33">
        <v>1</v>
      </c>
      <c r="G366" s="45"/>
      <c r="H366" s="65">
        <f t="shared" ref="H366" si="337">C366</f>
        <v>12.12</v>
      </c>
      <c r="I366" s="42">
        <f t="shared" ref="I366" si="338">H366-J366</f>
        <v>12.12</v>
      </c>
      <c r="J366" s="43"/>
      <c r="K366" s="43"/>
      <c r="L366" s="43">
        <f t="shared" ref="L366" si="339">I366</f>
        <v>12.12</v>
      </c>
      <c r="M366" s="43"/>
      <c r="N366" s="43"/>
      <c r="O366" s="43"/>
      <c r="P366" s="43"/>
      <c r="Q366" s="43"/>
    </row>
    <row r="367" spans="1:17" ht="14.4" x14ac:dyDescent="0.25">
      <c r="A367" s="219">
        <v>14.17</v>
      </c>
      <c r="B367" s="220" t="s">
        <v>244</v>
      </c>
      <c r="C367" s="34">
        <f t="shared" si="329"/>
        <v>9.6120000000000019</v>
      </c>
      <c r="D367" s="131">
        <f>13.92-(5.83+4.53)</f>
        <v>3.5600000000000005</v>
      </c>
      <c r="E367" s="17">
        <v>2.7</v>
      </c>
      <c r="F367" s="33">
        <v>1</v>
      </c>
      <c r="G367" s="45"/>
      <c r="H367" s="65"/>
      <c r="I367" s="42"/>
      <c r="J367" s="43"/>
      <c r="K367" s="43"/>
      <c r="L367" s="43">
        <f>C367</f>
        <v>9.6120000000000019</v>
      </c>
      <c r="M367" s="43"/>
      <c r="N367" s="43"/>
      <c r="O367" s="43"/>
      <c r="P367" s="43"/>
      <c r="Q367" s="43"/>
    </row>
    <row r="368" spans="1:17" ht="14.4" x14ac:dyDescent="0.25">
      <c r="A368" s="150"/>
      <c r="B368" s="157" t="s">
        <v>244</v>
      </c>
      <c r="C368" s="34">
        <f t="shared" si="329"/>
        <v>1.53</v>
      </c>
      <c r="D368" s="131">
        <v>1.53</v>
      </c>
      <c r="E368" s="17">
        <v>1</v>
      </c>
      <c r="F368" s="33">
        <v>1</v>
      </c>
      <c r="G368" s="45"/>
      <c r="H368" s="488">
        <f t="shared" ref="H368:H447" si="340">C368</f>
        <v>1.53</v>
      </c>
      <c r="I368" s="42"/>
      <c r="J368" s="43">
        <f t="shared" ref="J368" si="341">H368-I368</f>
        <v>1.53</v>
      </c>
      <c r="K368" s="43"/>
      <c r="L368" s="43"/>
      <c r="M368" s="43"/>
      <c r="N368" s="43"/>
      <c r="O368" s="43"/>
      <c r="P368" s="43">
        <f>J368</f>
        <v>1.53</v>
      </c>
      <c r="Q368" s="43"/>
    </row>
    <row r="369" spans="1:17" ht="14.4" x14ac:dyDescent="0.25">
      <c r="A369" s="150"/>
      <c r="B369" s="157"/>
      <c r="C369" s="34">
        <f t="shared" si="329"/>
        <v>12.231000000000002</v>
      </c>
      <c r="D369" s="131">
        <v>4.53</v>
      </c>
      <c r="E369" s="17">
        <v>2.7</v>
      </c>
      <c r="F369" s="33">
        <v>1</v>
      </c>
      <c r="G369" s="45"/>
      <c r="H369" s="65">
        <f t="shared" ref="H369" si="342">C369</f>
        <v>12.231000000000002</v>
      </c>
      <c r="I369" s="42">
        <f t="shared" ref="I369" si="343">H369-J369</f>
        <v>12.231000000000002</v>
      </c>
      <c r="J369" s="43"/>
      <c r="K369" s="43"/>
      <c r="L369" s="43">
        <f t="shared" ref="L369" si="344">I369</f>
        <v>12.231000000000002</v>
      </c>
      <c r="M369" s="43"/>
      <c r="N369" s="43"/>
      <c r="O369" s="43"/>
      <c r="P369" s="43"/>
      <c r="Q369" s="43"/>
    </row>
    <row r="370" spans="1:17" ht="14.4" x14ac:dyDescent="0.25">
      <c r="A370" s="219">
        <v>13.3</v>
      </c>
      <c r="B370" s="220" t="s">
        <v>168</v>
      </c>
      <c r="C370" s="34">
        <f t="shared" si="329"/>
        <v>3.0129999999999981</v>
      </c>
      <c r="D370" s="131">
        <f>14.87-(6+4.48)</f>
        <v>4.3899999999999988</v>
      </c>
      <c r="E370" s="17">
        <v>2.7</v>
      </c>
      <c r="F370" s="33">
        <v>1</v>
      </c>
      <c r="G370" s="45">
        <v>8.84</v>
      </c>
      <c r="H370" s="65"/>
      <c r="I370" s="42"/>
      <c r="J370" s="43"/>
      <c r="K370" s="43"/>
      <c r="L370" s="43">
        <f>C370</f>
        <v>3.0129999999999981</v>
      </c>
      <c r="M370" s="43"/>
      <c r="N370" s="43"/>
      <c r="O370" s="43"/>
      <c r="P370" s="43"/>
      <c r="Q370" s="43"/>
    </row>
    <row r="371" spans="1:17" ht="14.4" x14ac:dyDescent="0.25">
      <c r="A371" s="150"/>
      <c r="B371" s="157"/>
      <c r="C371" s="34">
        <f t="shared" si="329"/>
        <v>4.4800000000000004</v>
      </c>
      <c r="D371" s="131">
        <v>4.4800000000000004</v>
      </c>
      <c r="E371" s="17">
        <v>1</v>
      </c>
      <c r="F371" s="33">
        <v>1</v>
      </c>
      <c r="G371" s="45"/>
      <c r="H371" s="65">
        <f t="shared" ref="H371" si="345">C371</f>
        <v>4.4800000000000004</v>
      </c>
      <c r="I371" s="42">
        <f t="shared" ref="I371" si="346">H371-J371</f>
        <v>4.4800000000000004</v>
      </c>
      <c r="J371" s="43"/>
      <c r="K371" s="43"/>
      <c r="L371" s="43">
        <f t="shared" ref="L371" si="347">I371</f>
        <v>4.4800000000000004</v>
      </c>
      <c r="M371" s="43"/>
      <c r="N371" s="43"/>
      <c r="O371" s="43"/>
      <c r="P371" s="43"/>
      <c r="Q371" s="43"/>
    </row>
    <row r="372" spans="1:17" ht="14.4" x14ac:dyDescent="0.25">
      <c r="A372" s="150">
        <v>1.1000000000000001</v>
      </c>
      <c r="B372" s="15" t="s">
        <v>229</v>
      </c>
      <c r="C372" s="34">
        <f t="shared" si="329"/>
        <v>7.3200000000000038</v>
      </c>
      <c r="D372" s="131">
        <f>7.44-3.4</f>
        <v>4.0400000000000009</v>
      </c>
      <c r="E372" s="17">
        <v>4</v>
      </c>
      <c r="F372" s="33">
        <v>1</v>
      </c>
      <c r="G372" s="45">
        <v>8.84</v>
      </c>
      <c r="H372" s="65"/>
      <c r="I372" s="42"/>
      <c r="J372" s="43"/>
      <c r="K372" s="43"/>
      <c r="L372" s="43">
        <f>C372</f>
        <v>7.3200000000000038</v>
      </c>
      <c r="M372" s="43"/>
      <c r="N372" s="43"/>
      <c r="O372" s="43"/>
      <c r="P372" s="43"/>
      <c r="Q372" s="43"/>
    </row>
    <row r="373" spans="1:17" ht="14.4" x14ac:dyDescent="0.25">
      <c r="A373" s="150"/>
      <c r="B373" s="15"/>
      <c r="C373" s="34">
        <f t="shared" si="329"/>
        <v>13.6</v>
      </c>
      <c r="D373" s="131">
        <v>3.4</v>
      </c>
      <c r="E373" s="17">
        <v>4</v>
      </c>
      <c r="F373" s="33">
        <v>1</v>
      </c>
      <c r="G373" s="45"/>
      <c r="H373" s="65">
        <f t="shared" ref="H373" si="348">C373</f>
        <v>13.6</v>
      </c>
      <c r="I373" s="42">
        <f t="shared" ref="I373" si="349">H373-J373</f>
        <v>13.6</v>
      </c>
      <c r="J373" s="43"/>
      <c r="K373" s="43"/>
      <c r="L373" s="43">
        <f t="shared" ref="L373" si="350">I373</f>
        <v>13.6</v>
      </c>
      <c r="M373" s="43"/>
      <c r="N373" s="43"/>
      <c r="O373" s="43"/>
      <c r="P373" s="43"/>
      <c r="Q373" s="43"/>
    </row>
    <row r="374" spans="1:17" ht="14.4" x14ac:dyDescent="0.25">
      <c r="A374" s="219">
        <v>98.13</v>
      </c>
      <c r="B374" s="220" t="s">
        <v>168</v>
      </c>
      <c r="C374" s="34">
        <f t="shared" si="329"/>
        <v>208.31200000000001</v>
      </c>
      <c r="D374" s="131">
        <f>91.31-(7.75+2)</f>
        <v>81.56</v>
      </c>
      <c r="E374" s="17">
        <v>2.7</v>
      </c>
      <c r="F374" s="33">
        <v>1</v>
      </c>
      <c r="G374" s="45">
        <v>11.9</v>
      </c>
      <c r="H374" s="65"/>
      <c r="I374" s="42"/>
      <c r="J374" s="43"/>
      <c r="K374" s="43"/>
      <c r="L374" s="43">
        <f>C374</f>
        <v>208.31200000000001</v>
      </c>
      <c r="M374" s="43"/>
      <c r="N374" s="43"/>
      <c r="O374" s="43"/>
      <c r="P374" s="43"/>
      <c r="Q374" s="43"/>
    </row>
    <row r="375" spans="1:17" ht="14.4" x14ac:dyDescent="0.25">
      <c r="A375" s="150"/>
      <c r="B375" s="157"/>
      <c r="C375" s="34">
        <f t="shared" si="329"/>
        <v>5.4</v>
      </c>
      <c r="D375" s="131">
        <v>2</v>
      </c>
      <c r="E375" s="17">
        <v>2.7</v>
      </c>
      <c r="F375" s="33">
        <v>1</v>
      </c>
      <c r="G375" s="45"/>
      <c r="H375" s="65">
        <f t="shared" ref="H375" si="351">C375</f>
        <v>5.4</v>
      </c>
      <c r="I375" s="42">
        <f t="shared" ref="I375" si="352">H375-J375</f>
        <v>5.4</v>
      </c>
      <c r="J375" s="43"/>
      <c r="K375" s="43"/>
      <c r="L375" s="43">
        <f t="shared" ref="L375" si="353">I375</f>
        <v>5.4</v>
      </c>
      <c r="M375" s="43"/>
      <c r="N375" s="43"/>
      <c r="O375" s="43"/>
      <c r="P375" s="43"/>
      <c r="Q375" s="43"/>
    </row>
    <row r="376" spans="1:17" ht="14.4" x14ac:dyDescent="0.25">
      <c r="A376" s="150">
        <v>12.12</v>
      </c>
      <c r="B376" s="15" t="s">
        <v>245</v>
      </c>
      <c r="C376" s="34">
        <f t="shared" si="329"/>
        <v>27.594000000000005</v>
      </c>
      <c r="D376" s="131">
        <f>14.39-4.17</f>
        <v>10.220000000000001</v>
      </c>
      <c r="E376" s="17">
        <v>2.7</v>
      </c>
      <c r="F376" s="33">
        <v>1</v>
      </c>
      <c r="G376" s="45"/>
      <c r="H376" s="65"/>
      <c r="I376" s="42"/>
      <c r="J376" s="43"/>
      <c r="K376" s="43"/>
      <c r="L376" s="43">
        <f>C376</f>
        <v>27.594000000000005</v>
      </c>
      <c r="M376" s="43"/>
      <c r="N376" s="43"/>
      <c r="O376" s="43"/>
      <c r="P376" s="43"/>
      <c r="Q376" s="43"/>
    </row>
    <row r="377" spans="1:17" ht="14.4" x14ac:dyDescent="0.25">
      <c r="A377" s="150"/>
      <c r="B377" s="15"/>
      <c r="C377" s="34">
        <f t="shared" si="329"/>
        <v>11.259</v>
      </c>
      <c r="D377" s="131">
        <v>4.17</v>
      </c>
      <c r="E377" s="17">
        <v>2.7</v>
      </c>
      <c r="F377" s="33">
        <v>1</v>
      </c>
      <c r="G377" s="45"/>
      <c r="H377" s="65">
        <f t="shared" ref="H377" si="354">C377</f>
        <v>11.259</v>
      </c>
      <c r="I377" s="42">
        <f t="shared" ref="I377" si="355">H377-J377</f>
        <v>11.259</v>
      </c>
      <c r="J377" s="43"/>
      <c r="K377" s="43"/>
      <c r="L377" s="43">
        <f t="shared" ref="L377" si="356">I377</f>
        <v>11.259</v>
      </c>
      <c r="M377" s="43"/>
      <c r="N377" s="43"/>
      <c r="O377" s="43"/>
      <c r="P377" s="43"/>
      <c r="Q377" s="43"/>
    </row>
    <row r="378" spans="1:17" ht="14.4" x14ac:dyDescent="0.25">
      <c r="A378" s="150">
        <v>7.72</v>
      </c>
      <c r="B378" s="15" t="s">
        <v>168</v>
      </c>
      <c r="C378" s="34">
        <f t="shared" si="329"/>
        <v>34.749000000000002</v>
      </c>
      <c r="D378" s="131">
        <f>15.27-2.4</f>
        <v>12.87</v>
      </c>
      <c r="E378" s="17">
        <v>2.7</v>
      </c>
      <c r="F378" s="33">
        <v>1</v>
      </c>
      <c r="G378" s="45"/>
      <c r="H378" s="65"/>
      <c r="I378" s="42"/>
      <c r="J378" s="43"/>
      <c r="K378" s="43"/>
      <c r="L378" s="43">
        <f>C378</f>
        <v>34.749000000000002</v>
      </c>
      <c r="M378" s="43"/>
      <c r="N378" s="43"/>
      <c r="O378" s="43"/>
      <c r="P378" s="43"/>
      <c r="Q378" s="43"/>
    </row>
    <row r="379" spans="1:17" ht="14.4" x14ac:dyDescent="0.25">
      <c r="A379" s="219">
        <v>10.18</v>
      </c>
      <c r="B379" s="220" t="s">
        <v>246</v>
      </c>
      <c r="C379" s="34">
        <f t="shared" si="329"/>
        <v>30.024000000000004</v>
      </c>
      <c r="D379" s="131">
        <f>13.46-2.34</f>
        <v>11.120000000000001</v>
      </c>
      <c r="E379" s="17">
        <v>2.7</v>
      </c>
      <c r="F379" s="33">
        <v>1</v>
      </c>
      <c r="G379" s="45"/>
      <c r="H379" s="65"/>
      <c r="I379" s="42"/>
      <c r="J379" s="43"/>
      <c r="K379" s="43"/>
      <c r="L379" s="43">
        <f>C379</f>
        <v>30.024000000000004</v>
      </c>
      <c r="M379" s="43"/>
      <c r="N379" s="43"/>
      <c r="O379" s="43"/>
      <c r="P379" s="43"/>
      <c r="Q379" s="43"/>
    </row>
    <row r="380" spans="1:17" ht="14.4" x14ac:dyDescent="0.25">
      <c r="A380" s="150"/>
      <c r="B380" s="157" t="s">
        <v>246</v>
      </c>
      <c r="C380" s="34">
        <f t="shared" si="329"/>
        <v>12.77</v>
      </c>
      <c r="D380" s="131">
        <v>12.77</v>
      </c>
      <c r="E380" s="17">
        <v>1</v>
      </c>
      <c r="F380" s="33">
        <v>1</v>
      </c>
      <c r="G380" s="45"/>
      <c r="H380" s="488">
        <f t="shared" si="340"/>
        <v>12.77</v>
      </c>
      <c r="I380" s="42"/>
      <c r="J380" s="43">
        <f t="shared" ref="J380" si="357">H380-I380</f>
        <v>12.77</v>
      </c>
      <c r="K380" s="43"/>
      <c r="L380" s="43"/>
      <c r="M380" s="43"/>
      <c r="N380" s="43"/>
      <c r="O380" s="43"/>
      <c r="P380" s="43">
        <f>J380</f>
        <v>12.77</v>
      </c>
      <c r="Q380" s="43"/>
    </row>
    <row r="381" spans="1:17" ht="14.4" x14ac:dyDescent="0.25">
      <c r="A381" s="150">
        <v>5.0999999999999996</v>
      </c>
      <c r="B381" s="15" t="s">
        <v>247</v>
      </c>
      <c r="C381" s="34">
        <f t="shared" si="329"/>
        <v>25.029</v>
      </c>
      <c r="D381" s="131">
        <v>9.27</v>
      </c>
      <c r="E381" s="17">
        <v>2.7</v>
      </c>
      <c r="F381" s="33">
        <v>1</v>
      </c>
      <c r="G381" s="45"/>
      <c r="H381" s="65"/>
      <c r="I381" s="42"/>
      <c r="J381" s="43"/>
      <c r="K381" s="43"/>
      <c r="L381" s="43">
        <f>C381</f>
        <v>25.029</v>
      </c>
      <c r="M381" s="43"/>
      <c r="N381" s="43"/>
      <c r="O381" s="43"/>
      <c r="P381" s="43"/>
      <c r="Q381" s="43"/>
    </row>
    <row r="382" spans="1:17" ht="14.4" x14ac:dyDescent="0.25">
      <c r="A382" s="219">
        <v>13.87</v>
      </c>
      <c r="B382" s="220" t="s">
        <v>248</v>
      </c>
      <c r="C382" s="34">
        <f t="shared" si="329"/>
        <v>33.857999999999997</v>
      </c>
      <c r="D382" s="131">
        <f>15.41-2.87</f>
        <v>12.54</v>
      </c>
      <c r="E382" s="17">
        <v>2.7</v>
      </c>
      <c r="F382" s="33">
        <v>1</v>
      </c>
      <c r="G382" s="45"/>
      <c r="H382" s="65"/>
      <c r="I382" s="42"/>
      <c r="J382" s="43"/>
      <c r="K382" s="43"/>
      <c r="L382" s="43">
        <f>C382</f>
        <v>33.857999999999997</v>
      </c>
      <c r="M382" s="43"/>
      <c r="N382" s="43"/>
      <c r="O382" s="43"/>
      <c r="P382" s="43"/>
      <c r="Q382" s="43"/>
    </row>
    <row r="383" spans="1:17" ht="14.4" x14ac:dyDescent="0.25">
      <c r="A383" s="150"/>
      <c r="B383" s="157"/>
      <c r="C383" s="34">
        <f t="shared" si="329"/>
        <v>7.7490000000000006</v>
      </c>
      <c r="D383" s="131">
        <v>2.87</v>
      </c>
      <c r="E383" s="17">
        <v>2.7</v>
      </c>
      <c r="F383" s="33">
        <v>1</v>
      </c>
      <c r="G383" s="45"/>
      <c r="H383" s="65">
        <f t="shared" ref="H383" si="358">C383</f>
        <v>7.7490000000000006</v>
      </c>
      <c r="I383" s="42">
        <f t="shared" ref="I383" si="359">H383-J383</f>
        <v>7.7490000000000006</v>
      </c>
      <c r="J383" s="43"/>
      <c r="K383" s="43"/>
      <c r="L383" s="43">
        <f t="shared" ref="L383" si="360">I383</f>
        <v>7.7490000000000006</v>
      </c>
      <c r="M383" s="43"/>
      <c r="N383" s="43"/>
      <c r="O383" s="43"/>
      <c r="P383" s="43"/>
      <c r="Q383" s="43"/>
    </row>
    <row r="384" spans="1:17" ht="14.4" x14ac:dyDescent="0.25">
      <c r="A384" s="150">
        <v>7.18</v>
      </c>
      <c r="B384" s="15" t="s">
        <v>249</v>
      </c>
      <c r="C384" s="34">
        <f t="shared" si="329"/>
        <v>29.025000000000002</v>
      </c>
      <c r="D384" s="131">
        <f>10.75</f>
        <v>10.75</v>
      </c>
      <c r="E384" s="17">
        <v>2.7</v>
      </c>
      <c r="F384" s="33">
        <v>1</v>
      </c>
      <c r="G384" s="45"/>
      <c r="H384" s="65"/>
      <c r="I384" s="42"/>
      <c r="J384" s="43"/>
      <c r="K384" s="43"/>
      <c r="L384" s="43">
        <f>C384</f>
        <v>29.025000000000002</v>
      </c>
      <c r="M384" s="43"/>
      <c r="N384" s="43"/>
      <c r="O384" s="43"/>
      <c r="P384" s="43"/>
      <c r="Q384" s="43"/>
    </row>
    <row r="385" spans="1:17" ht="14.4" x14ac:dyDescent="0.25">
      <c r="A385" s="150">
        <v>3.3</v>
      </c>
      <c r="B385" s="15" t="s">
        <v>250</v>
      </c>
      <c r="C385" s="34">
        <f t="shared" si="329"/>
        <v>14.769</v>
      </c>
      <c r="D385" s="131">
        <f>7.27-1.8</f>
        <v>5.47</v>
      </c>
      <c r="E385" s="17">
        <v>2.7</v>
      </c>
      <c r="F385" s="33">
        <v>1</v>
      </c>
      <c r="G385" s="45"/>
      <c r="H385" s="65"/>
      <c r="I385" s="42"/>
      <c r="J385" s="43"/>
      <c r="K385" s="43"/>
      <c r="L385" s="43">
        <f>C385</f>
        <v>14.769</v>
      </c>
      <c r="M385" s="43"/>
      <c r="N385" s="43"/>
      <c r="O385" s="43"/>
      <c r="P385" s="43"/>
      <c r="Q385" s="43"/>
    </row>
    <row r="386" spans="1:17" ht="14.4" x14ac:dyDescent="0.25">
      <c r="A386" s="150"/>
      <c r="B386" s="15"/>
      <c r="C386" s="34">
        <f t="shared" si="329"/>
        <v>4.8600000000000003</v>
      </c>
      <c r="D386" s="131">
        <v>1.8</v>
      </c>
      <c r="E386" s="17">
        <v>2.7</v>
      </c>
      <c r="F386" s="33">
        <v>1</v>
      </c>
      <c r="G386" s="45"/>
      <c r="H386" s="65">
        <f t="shared" ref="H386" si="361">C386</f>
        <v>4.8600000000000003</v>
      </c>
      <c r="I386" s="42">
        <f t="shared" ref="I386" si="362">H386-J386</f>
        <v>4.8600000000000003</v>
      </c>
      <c r="J386" s="43"/>
      <c r="K386" s="43"/>
      <c r="L386" s="43">
        <f t="shared" ref="L386" si="363">I386</f>
        <v>4.8600000000000003</v>
      </c>
      <c r="M386" s="43"/>
      <c r="N386" s="43"/>
      <c r="O386" s="43"/>
      <c r="P386" s="43"/>
      <c r="Q386" s="43"/>
    </row>
    <row r="387" spans="1:17" ht="14.4" x14ac:dyDescent="0.25">
      <c r="A387" s="150">
        <v>3.91</v>
      </c>
      <c r="B387" s="15" t="s">
        <v>251</v>
      </c>
      <c r="C387" s="34">
        <f t="shared" si="329"/>
        <v>21.517400000000002</v>
      </c>
      <c r="D387" s="131">
        <v>7.94</v>
      </c>
      <c r="E387" s="17">
        <v>2.71</v>
      </c>
      <c r="F387" s="33">
        <v>1</v>
      </c>
      <c r="G387" s="45"/>
      <c r="H387" s="65"/>
      <c r="I387" s="42"/>
      <c r="J387" s="43"/>
      <c r="K387" s="43"/>
      <c r="L387" s="43"/>
      <c r="M387" s="43"/>
      <c r="N387" s="43"/>
      <c r="O387" s="43"/>
      <c r="P387" s="43">
        <f>C387</f>
        <v>21.517400000000002</v>
      </c>
      <c r="Q387" s="43"/>
    </row>
    <row r="388" spans="1:17" ht="14.4" x14ac:dyDescent="0.25">
      <c r="A388" s="150">
        <v>3.74</v>
      </c>
      <c r="B388" s="15" t="s">
        <v>252</v>
      </c>
      <c r="C388" s="34">
        <f t="shared" si="329"/>
        <v>21.002500000000001</v>
      </c>
      <c r="D388" s="131">
        <v>7.75</v>
      </c>
      <c r="E388" s="17">
        <v>2.71</v>
      </c>
      <c r="F388" s="33">
        <v>1</v>
      </c>
      <c r="G388" s="45"/>
      <c r="H388" s="65"/>
      <c r="I388" s="42"/>
      <c r="J388" s="43"/>
      <c r="K388" s="43"/>
      <c r="L388" s="43"/>
      <c r="M388" s="43"/>
      <c r="N388" s="43"/>
      <c r="O388" s="43"/>
      <c r="P388" s="43">
        <f>C388</f>
        <v>21.002500000000001</v>
      </c>
      <c r="Q388" s="43"/>
    </row>
    <row r="389" spans="1:17" ht="14.4" x14ac:dyDescent="0.25">
      <c r="A389" s="150">
        <v>7.99</v>
      </c>
      <c r="B389" s="15" t="s">
        <v>168</v>
      </c>
      <c r="C389" s="34">
        <f t="shared" si="329"/>
        <v>41.202000000000005</v>
      </c>
      <c r="D389" s="131">
        <f>17.36-(1.05+1.05)</f>
        <v>15.26</v>
      </c>
      <c r="E389" s="17">
        <v>2.7</v>
      </c>
      <c r="F389" s="33">
        <v>1</v>
      </c>
      <c r="G389" s="45"/>
      <c r="H389" s="65"/>
      <c r="I389" s="42"/>
      <c r="J389" s="43"/>
      <c r="K389" s="43"/>
      <c r="L389" s="43">
        <f>C389</f>
        <v>41.202000000000005</v>
      </c>
      <c r="M389" s="43"/>
      <c r="N389" s="43"/>
      <c r="O389" s="43"/>
      <c r="P389" s="43"/>
      <c r="Q389" s="43"/>
    </row>
    <row r="390" spans="1:17" ht="14.4" x14ac:dyDescent="0.25">
      <c r="A390" s="150"/>
      <c r="B390" s="15"/>
      <c r="C390" s="34">
        <f t="shared" si="329"/>
        <v>2.8350000000000004</v>
      </c>
      <c r="D390" s="131">
        <v>1.05</v>
      </c>
      <c r="E390" s="17">
        <v>2.7</v>
      </c>
      <c r="F390" s="33">
        <v>1</v>
      </c>
      <c r="G390" s="45"/>
      <c r="H390" s="65">
        <f t="shared" ref="H390" si="364">C390</f>
        <v>2.8350000000000004</v>
      </c>
      <c r="I390" s="42">
        <f t="shared" ref="I390" si="365">H390-J390</f>
        <v>2.8350000000000004</v>
      </c>
      <c r="J390" s="43"/>
      <c r="K390" s="43"/>
      <c r="L390" s="43">
        <f t="shared" ref="L390" si="366">I390</f>
        <v>2.8350000000000004</v>
      </c>
      <c r="M390" s="43"/>
      <c r="N390" s="43"/>
      <c r="O390" s="43"/>
      <c r="P390" s="43"/>
      <c r="Q390" s="43"/>
    </row>
    <row r="391" spans="1:17" ht="14.4" x14ac:dyDescent="0.25">
      <c r="A391" s="150">
        <v>9.51</v>
      </c>
      <c r="B391" s="15" t="s">
        <v>253</v>
      </c>
      <c r="C391" s="34">
        <f t="shared" si="329"/>
        <v>23.625</v>
      </c>
      <c r="D391" s="131">
        <f>12.82-4.07</f>
        <v>8.75</v>
      </c>
      <c r="E391" s="17">
        <v>2.7</v>
      </c>
      <c r="F391" s="33">
        <v>1</v>
      </c>
      <c r="G391" s="45"/>
      <c r="H391" s="65"/>
      <c r="I391" s="42"/>
      <c r="J391" s="43"/>
      <c r="K391" s="43"/>
      <c r="L391" s="43">
        <f>C391</f>
        <v>23.625</v>
      </c>
      <c r="M391" s="43"/>
      <c r="N391" s="43"/>
      <c r="O391" s="43"/>
      <c r="P391" s="43"/>
      <c r="Q391" s="43"/>
    </row>
    <row r="392" spans="1:17" ht="14.4" x14ac:dyDescent="0.25">
      <c r="A392" s="150"/>
      <c r="B392" s="15"/>
      <c r="C392" s="34">
        <f t="shared" si="329"/>
        <v>10.989000000000001</v>
      </c>
      <c r="D392" s="131">
        <v>4.07</v>
      </c>
      <c r="E392" s="17">
        <v>2.7</v>
      </c>
      <c r="F392" s="33">
        <v>1</v>
      </c>
      <c r="G392" s="45"/>
      <c r="H392" s="65">
        <f t="shared" ref="H392" si="367">C392</f>
        <v>10.989000000000001</v>
      </c>
      <c r="I392" s="42">
        <f t="shared" ref="I392" si="368">H392-J392</f>
        <v>10.989000000000001</v>
      </c>
      <c r="J392" s="43"/>
      <c r="K392" s="43"/>
      <c r="L392" s="43">
        <f t="shared" ref="L392" si="369">I392</f>
        <v>10.989000000000001</v>
      </c>
      <c r="M392" s="43"/>
      <c r="N392" s="43"/>
      <c r="O392" s="43"/>
      <c r="P392" s="43"/>
      <c r="Q392" s="43"/>
    </row>
    <row r="393" spans="1:17" ht="14.4" x14ac:dyDescent="0.25">
      <c r="A393" s="150">
        <v>3.09</v>
      </c>
      <c r="B393" s="15" t="s">
        <v>213</v>
      </c>
      <c r="C393" s="34">
        <f t="shared" si="329"/>
        <v>15.799300000000001</v>
      </c>
      <c r="D393" s="131">
        <f>7.21-1.38</f>
        <v>5.83</v>
      </c>
      <c r="E393" s="17">
        <v>2.71</v>
      </c>
      <c r="F393" s="33">
        <v>1</v>
      </c>
      <c r="G393" s="45"/>
      <c r="H393" s="65"/>
      <c r="I393" s="42"/>
      <c r="J393" s="43"/>
      <c r="K393" s="43"/>
      <c r="L393" s="43"/>
      <c r="M393" s="43"/>
      <c r="N393" s="43"/>
      <c r="O393" s="43"/>
      <c r="P393" s="43">
        <f>C393</f>
        <v>15.799300000000001</v>
      </c>
      <c r="Q393" s="43"/>
    </row>
    <row r="394" spans="1:17" ht="14.4" x14ac:dyDescent="0.25">
      <c r="A394" s="150"/>
      <c r="B394" s="15"/>
      <c r="C394" s="34">
        <f t="shared" si="329"/>
        <v>3.7397999999999998</v>
      </c>
      <c r="D394" s="131">
        <v>1.38</v>
      </c>
      <c r="E394" s="17">
        <v>2.71</v>
      </c>
      <c r="F394" s="33">
        <v>1</v>
      </c>
      <c r="G394" s="45"/>
      <c r="H394" s="65">
        <f t="shared" ref="H394" si="370">C394</f>
        <v>3.7397999999999998</v>
      </c>
      <c r="I394" s="42"/>
      <c r="J394" s="43">
        <f t="shared" ref="J394" si="371">H394-I394</f>
        <v>3.7397999999999998</v>
      </c>
      <c r="K394" s="43"/>
      <c r="L394" s="43"/>
      <c r="M394" s="43"/>
      <c r="N394" s="43"/>
      <c r="O394" s="43"/>
      <c r="P394" s="43">
        <f>J394</f>
        <v>3.7397999999999998</v>
      </c>
      <c r="Q394" s="43"/>
    </row>
    <row r="395" spans="1:17" ht="14.4" x14ac:dyDescent="0.25">
      <c r="A395" s="150">
        <v>9.7799999999999994</v>
      </c>
      <c r="B395" s="15" t="s">
        <v>254</v>
      </c>
      <c r="C395" s="34">
        <f t="shared" si="329"/>
        <v>34.965000000000003</v>
      </c>
      <c r="D395" s="131">
        <f>12.95</f>
        <v>12.95</v>
      </c>
      <c r="E395" s="17">
        <v>2.7</v>
      </c>
      <c r="F395" s="33">
        <v>1</v>
      </c>
      <c r="G395" s="45"/>
      <c r="H395" s="65"/>
      <c r="I395" s="42"/>
      <c r="J395" s="43"/>
      <c r="K395" s="43"/>
      <c r="L395" s="43">
        <f>C395</f>
        <v>34.965000000000003</v>
      </c>
      <c r="M395" s="43"/>
      <c r="N395" s="43"/>
      <c r="O395" s="43"/>
      <c r="P395" s="43"/>
      <c r="Q395" s="43"/>
    </row>
    <row r="396" spans="1:17" ht="14.4" x14ac:dyDescent="0.25">
      <c r="A396" s="150">
        <v>3.18</v>
      </c>
      <c r="B396" s="15" t="s">
        <v>213</v>
      </c>
      <c r="C396" s="34">
        <f t="shared" si="329"/>
        <v>19.891400000000001</v>
      </c>
      <c r="D396" s="131">
        <v>7.34</v>
      </c>
      <c r="E396" s="17">
        <v>2.71</v>
      </c>
      <c r="F396" s="33">
        <v>1</v>
      </c>
      <c r="G396" s="45"/>
      <c r="H396" s="65"/>
      <c r="I396" s="42"/>
      <c r="J396" s="43"/>
      <c r="K396" s="43"/>
      <c r="L396" s="43"/>
      <c r="M396" s="43"/>
      <c r="N396" s="43"/>
      <c r="O396" s="43"/>
      <c r="P396" s="43">
        <f>C396</f>
        <v>19.891400000000001</v>
      </c>
      <c r="Q396" s="43"/>
    </row>
    <row r="397" spans="1:17" ht="14.4" x14ac:dyDescent="0.25">
      <c r="A397" s="150">
        <v>1.86</v>
      </c>
      <c r="B397" s="15" t="s">
        <v>255</v>
      </c>
      <c r="C397" s="34">
        <f t="shared" si="329"/>
        <v>15.067599999999999</v>
      </c>
      <c r="D397" s="131">
        <v>5.56</v>
      </c>
      <c r="E397" s="17">
        <v>2.71</v>
      </c>
      <c r="F397" s="33">
        <v>1</v>
      </c>
      <c r="G397" s="45"/>
      <c r="H397" s="65"/>
      <c r="I397" s="42"/>
      <c r="J397" s="43"/>
      <c r="K397" s="43"/>
      <c r="L397" s="43"/>
      <c r="M397" s="43"/>
      <c r="N397" s="43"/>
      <c r="O397" s="43"/>
      <c r="P397" s="43">
        <f>C397</f>
        <v>15.067599999999999</v>
      </c>
      <c r="Q397" s="43"/>
    </row>
    <row r="398" spans="1:17" ht="14.4" x14ac:dyDescent="0.25">
      <c r="A398" s="150">
        <v>1.93</v>
      </c>
      <c r="B398" s="15" t="s">
        <v>256</v>
      </c>
      <c r="C398" s="34">
        <f t="shared" si="329"/>
        <v>15.2844</v>
      </c>
      <c r="D398" s="131">
        <v>5.64</v>
      </c>
      <c r="E398" s="17">
        <v>2.71</v>
      </c>
      <c r="F398" s="33">
        <v>1</v>
      </c>
      <c r="G398" s="45"/>
      <c r="H398" s="65"/>
      <c r="I398" s="42"/>
      <c r="J398" s="43"/>
      <c r="K398" s="43"/>
      <c r="L398" s="43"/>
      <c r="M398" s="43"/>
      <c r="N398" s="43"/>
      <c r="O398" s="43"/>
      <c r="P398" s="43">
        <f>C398</f>
        <v>15.2844</v>
      </c>
      <c r="Q398" s="43"/>
    </row>
    <row r="399" spans="1:17" ht="14.4" x14ac:dyDescent="0.25">
      <c r="A399" s="150">
        <v>6.22</v>
      </c>
      <c r="B399" s="15" t="s">
        <v>257</v>
      </c>
      <c r="C399" s="34">
        <f t="shared" si="329"/>
        <v>27.018700000000003</v>
      </c>
      <c r="D399" s="131">
        <v>9.9700000000000006</v>
      </c>
      <c r="E399" s="17">
        <v>2.71</v>
      </c>
      <c r="F399" s="33">
        <v>1</v>
      </c>
      <c r="G399" s="45"/>
      <c r="H399" s="65"/>
      <c r="I399" s="42"/>
      <c r="J399" s="43"/>
      <c r="K399" s="43"/>
      <c r="L399" s="43"/>
      <c r="M399" s="43"/>
      <c r="N399" s="43"/>
      <c r="O399" s="43"/>
      <c r="P399" s="43"/>
      <c r="Q399" s="43">
        <f>C399</f>
        <v>27.018700000000003</v>
      </c>
    </row>
    <row r="400" spans="1:17" ht="14.4" x14ac:dyDescent="0.25">
      <c r="A400" s="150">
        <v>2.94</v>
      </c>
      <c r="B400" s="15" t="s">
        <v>158</v>
      </c>
      <c r="C400" s="34">
        <f t="shared" si="329"/>
        <v>19.782999999999998</v>
      </c>
      <c r="D400" s="131">
        <v>7.3</v>
      </c>
      <c r="E400" s="17">
        <v>2.71</v>
      </c>
      <c r="F400" s="33">
        <v>1</v>
      </c>
      <c r="G400" s="45"/>
      <c r="H400" s="65"/>
      <c r="I400" s="42"/>
      <c r="J400" s="43"/>
      <c r="K400" s="43"/>
      <c r="L400" s="43"/>
      <c r="M400" s="43"/>
      <c r="N400" s="43"/>
      <c r="O400" s="43"/>
      <c r="P400" s="43"/>
      <c r="Q400" s="43">
        <f>C400</f>
        <v>19.782999999999998</v>
      </c>
    </row>
    <row r="401" spans="1:17" ht="14.4" x14ac:dyDescent="0.25">
      <c r="A401" s="150">
        <v>5.4</v>
      </c>
      <c r="B401" s="15" t="s">
        <v>258</v>
      </c>
      <c r="C401" s="34">
        <f t="shared" si="329"/>
        <v>25.380000000000003</v>
      </c>
      <c r="D401" s="131">
        <f>9.4</f>
        <v>9.4</v>
      </c>
      <c r="E401" s="17">
        <v>2.7</v>
      </c>
      <c r="F401" s="33">
        <v>1</v>
      </c>
      <c r="G401" s="45"/>
      <c r="H401" s="65"/>
      <c r="I401" s="42"/>
      <c r="J401" s="43"/>
      <c r="K401" s="43"/>
      <c r="L401" s="43">
        <f>C401</f>
        <v>25.380000000000003</v>
      </c>
      <c r="M401" s="43"/>
      <c r="N401" s="43"/>
      <c r="O401" s="43"/>
      <c r="P401" s="43"/>
      <c r="Q401" s="43"/>
    </row>
    <row r="402" spans="1:17" ht="14.4" x14ac:dyDescent="0.25">
      <c r="A402" s="150">
        <v>17.41</v>
      </c>
      <c r="B402" s="15" t="s">
        <v>259</v>
      </c>
      <c r="C402" s="34">
        <f t="shared" si="329"/>
        <v>24.3</v>
      </c>
      <c r="D402" s="131">
        <f>(17.48-3.85)-4.63</f>
        <v>9</v>
      </c>
      <c r="E402" s="17">
        <v>2.7</v>
      </c>
      <c r="F402" s="33">
        <v>1</v>
      </c>
      <c r="G402" s="45"/>
      <c r="H402" s="65"/>
      <c r="I402" s="42"/>
      <c r="J402" s="43"/>
      <c r="K402" s="43"/>
      <c r="L402" s="43">
        <f>C402</f>
        <v>24.3</v>
      </c>
      <c r="M402" s="43"/>
      <c r="N402" s="43"/>
      <c r="O402" s="43"/>
      <c r="P402" s="43"/>
      <c r="Q402" s="43"/>
    </row>
    <row r="403" spans="1:17" ht="14.4" x14ac:dyDescent="0.25">
      <c r="A403" s="150"/>
      <c r="B403" s="15"/>
      <c r="C403" s="34">
        <f t="shared" si="329"/>
        <v>10.395000000000001</v>
      </c>
      <c r="D403" s="131">
        <v>3.85</v>
      </c>
      <c r="E403" s="17">
        <v>2.7</v>
      </c>
      <c r="F403" s="33">
        <v>1</v>
      </c>
      <c r="G403" s="45"/>
      <c r="H403" s="65">
        <f t="shared" ref="H403" si="372">C403</f>
        <v>10.395000000000001</v>
      </c>
      <c r="I403" s="42">
        <f t="shared" ref="I403" si="373">H403-J403</f>
        <v>10.395000000000001</v>
      </c>
      <c r="J403" s="43"/>
      <c r="K403" s="43"/>
      <c r="L403" s="43">
        <f t="shared" ref="L403" si="374">I403</f>
        <v>10.395000000000001</v>
      </c>
      <c r="M403" s="43"/>
      <c r="N403" s="43"/>
      <c r="O403" s="43"/>
      <c r="P403" s="43"/>
      <c r="Q403" s="43"/>
    </row>
    <row r="404" spans="1:17" ht="14.4" x14ac:dyDescent="0.25">
      <c r="A404" s="150"/>
      <c r="B404" s="15"/>
      <c r="C404" s="34">
        <f t="shared" si="329"/>
        <v>12.501000000000001</v>
      </c>
      <c r="D404" s="131">
        <v>4.63</v>
      </c>
      <c r="E404" s="17">
        <v>2.7</v>
      </c>
      <c r="F404" s="33">
        <v>1</v>
      </c>
      <c r="G404" s="45"/>
      <c r="H404" s="65"/>
      <c r="I404" s="42"/>
      <c r="J404" s="43"/>
      <c r="K404" s="43">
        <f>C404</f>
        <v>12.501000000000001</v>
      </c>
      <c r="L404" s="43"/>
      <c r="M404" s="43"/>
      <c r="N404" s="43"/>
      <c r="O404" s="43"/>
      <c r="P404" s="43"/>
      <c r="Q404" s="43"/>
    </row>
    <row r="405" spans="1:17" ht="14.4" x14ac:dyDescent="0.25">
      <c r="A405" s="150">
        <v>4.59</v>
      </c>
      <c r="B405" s="15" t="s">
        <v>260</v>
      </c>
      <c r="C405" s="34">
        <f t="shared" si="329"/>
        <v>23.848000000000003</v>
      </c>
      <c r="D405" s="131">
        <v>8.8000000000000007</v>
      </c>
      <c r="E405" s="17">
        <v>2.71</v>
      </c>
      <c r="F405" s="33">
        <v>1</v>
      </c>
      <c r="G405" s="45"/>
      <c r="H405" s="65"/>
      <c r="I405" s="42"/>
      <c r="J405" s="43"/>
      <c r="K405" s="43"/>
      <c r="L405" s="43"/>
      <c r="M405" s="43"/>
      <c r="N405" s="43"/>
      <c r="O405" s="43"/>
      <c r="P405" s="43">
        <f>C405</f>
        <v>23.848000000000003</v>
      </c>
      <c r="Q405" s="43"/>
    </row>
    <row r="406" spans="1:17" ht="14.4" x14ac:dyDescent="0.25">
      <c r="A406" s="150">
        <v>4.59</v>
      </c>
      <c r="B406" s="15" t="s">
        <v>282</v>
      </c>
      <c r="C406" s="34">
        <f t="shared" si="329"/>
        <v>23.760000000000005</v>
      </c>
      <c r="D406" s="131">
        <f>8.8</f>
        <v>8.8000000000000007</v>
      </c>
      <c r="E406" s="17">
        <v>2.7</v>
      </c>
      <c r="F406" s="33">
        <v>1</v>
      </c>
      <c r="G406" s="45"/>
      <c r="H406" s="65"/>
      <c r="I406" s="42"/>
      <c r="J406" s="43"/>
      <c r="K406" s="43"/>
      <c r="L406" s="43">
        <f>C406</f>
        <v>23.760000000000005</v>
      </c>
      <c r="M406" s="43"/>
      <c r="N406" s="43"/>
      <c r="O406" s="43"/>
      <c r="P406" s="43"/>
      <c r="Q406" s="43"/>
    </row>
    <row r="407" spans="1:17" ht="14.4" x14ac:dyDescent="0.25">
      <c r="A407" s="150">
        <v>2.58</v>
      </c>
      <c r="B407" s="15" t="s">
        <v>261</v>
      </c>
      <c r="C407" s="34">
        <f t="shared" si="329"/>
        <v>17.82</v>
      </c>
      <c r="D407" s="131">
        <v>6.6</v>
      </c>
      <c r="E407" s="17">
        <v>2.7</v>
      </c>
      <c r="F407" s="33">
        <v>1</v>
      </c>
      <c r="G407" s="45"/>
      <c r="H407" s="65"/>
      <c r="I407" s="42"/>
      <c r="J407" s="43"/>
      <c r="K407" s="43"/>
      <c r="L407" s="43">
        <f>C407</f>
        <v>17.82</v>
      </c>
      <c r="M407" s="43"/>
      <c r="N407" s="43"/>
      <c r="O407" s="43"/>
      <c r="P407" s="43"/>
      <c r="Q407" s="43"/>
    </row>
    <row r="408" spans="1:17" ht="14.4" x14ac:dyDescent="0.25">
      <c r="A408" s="150">
        <v>11.23</v>
      </c>
      <c r="B408" s="15" t="s">
        <v>262</v>
      </c>
      <c r="C408" s="34">
        <f t="shared" si="329"/>
        <v>22.166999999999998</v>
      </c>
      <c r="D408" s="131">
        <f>13.6-(1.77+3.62)</f>
        <v>8.2099999999999991</v>
      </c>
      <c r="E408" s="17">
        <v>2.7</v>
      </c>
      <c r="F408" s="33">
        <v>1</v>
      </c>
      <c r="G408" s="45"/>
      <c r="H408" s="65"/>
      <c r="I408" s="42"/>
      <c r="J408" s="43"/>
      <c r="K408" s="43"/>
      <c r="L408" s="43">
        <f>C408</f>
        <v>22.166999999999998</v>
      </c>
      <c r="M408" s="43"/>
      <c r="N408" s="43"/>
      <c r="O408" s="43"/>
      <c r="P408" s="43"/>
      <c r="Q408" s="43"/>
    </row>
    <row r="409" spans="1:17" ht="14.4" x14ac:dyDescent="0.25">
      <c r="A409" s="150"/>
      <c r="B409" s="15"/>
      <c r="C409" s="34">
        <f t="shared" si="329"/>
        <v>9.7740000000000009</v>
      </c>
      <c r="D409" s="131">
        <v>3.62</v>
      </c>
      <c r="E409" s="17">
        <v>2.7</v>
      </c>
      <c r="F409" s="33">
        <v>1</v>
      </c>
      <c r="G409" s="45"/>
      <c r="H409" s="65">
        <f t="shared" ref="H409" si="375">C409</f>
        <v>9.7740000000000009</v>
      </c>
      <c r="I409" s="42">
        <f t="shared" ref="I409" si="376">H409-J409</f>
        <v>9.7740000000000009</v>
      </c>
      <c r="J409" s="43"/>
      <c r="K409" s="43"/>
      <c r="L409" s="43">
        <f t="shared" ref="L409" si="377">I409</f>
        <v>9.7740000000000009</v>
      </c>
      <c r="M409" s="43"/>
      <c r="N409" s="43"/>
      <c r="O409" s="43"/>
      <c r="P409" s="43"/>
      <c r="Q409" s="43"/>
    </row>
    <row r="410" spans="1:17" ht="14.4" x14ac:dyDescent="0.25">
      <c r="A410" s="150">
        <v>5.18</v>
      </c>
      <c r="B410" s="15" t="s">
        <v>263</v>
      </c>
      <c r="C410" s="34">
        <f t="shared" si="329"/>
        <v>14.040000000000001</v>
      </c>
      <c r="D410" s="131">
        <f>9.76-4.56</f>
        <v>5.2</v>
      </c>
      <c r="E410" s="17">
        <v>2.7</v>
      </c>
      <c r="F410" s="33">
        <v>1</v>
      </c>
      <c r="G410" s="45"/>
      <c r="H410" s="65"/>
      <c r="I410" s="42"/>
      <c r="J410" s="43"/>
      <c r="K410" s="43"/>
      <c r="L410" s="43">
        <f>C410</f>
        <v>14.040000000000001</v>
      </c>
      <c r="M410" s="43"/>
      <c r="N410" s="43"/>
      <c r="O410" s="43"/>
      <c r="P410" s="43"/>
      <c r="Q410" s="43"/>
    </row>
    <row r="411" spans="1:17" ht="14.4" x14ac:dyDescent="0.25">
      <c r="A411" s="150"/>
      <c r="B411" s="15"/>
      <c r="C411" s="34">
        <f t="shared" si="329"/>
        <v>12.311999999999999</v>
      </c>
      <c r="D411" s="131">
        <v>4.5599999999999996</v>
      </c>
      <c r="E411" s="17">
        <v>2.7</v>
      </c>
      <c r="F411" s="33">
        <v>1</v>
      </c>
      <c r="G411" s="45"/>
      <c r="H411" s="65">
        <f t="shared" ref="H411" si="378">C411</f>
        <v>12.311999999999999</v>
      </c>
      <c r="I411" s="42">
        <f t="shared" ref="I411" si="379">H411-J411</f>
        <v>12.311999999999999</v>
      </c>
      <c r="J411" s="43"/>
      <c r="K411" s="43"/>
      <c r="L411" s="43">
        <f t="shared" ref="L411" si="380">I411</f>
        <v>12.311999999999999</v>
      </c>
      <c r="M411" s="43"/>
      <c r="N411" s="43"/>
      <c r="O411" s="43"/>
      <c r="P411" s="43"/>
      <c r="Q411" s="43"/>
    </row>
    <row r="412" spans="1:17" ht="14.4" x14ac:dyDescent="0.25">
      <c r="A412" s="150">
        <v>16.16</v>
      </c>
      <c r="B412" s="15" t="s">
        <v>264</v>
      </c>
      <c r="C412" s="34">
        <f t="shared" si="329"/>
        <v>13.935000000000006</v>
      </c>
      <c r="D412" s="131">
        <f>16.12-(2.57+4.3)</f>
        <v>9.2500000000000018</v>
      </c>
      <c r="E412" s="17">
        <v>2.7</v>
      </c>
      <c r="F412" s="33">
        <v>1</v>
      </c>
      <c r="G412" s="45">
        <v>11.04</v>
      </c>
      <c r="H412" s="65"/>
      <c r="I412" s="42"/>
      <c r="J412" s="43"/>
      <c r="K412" s="43"/>
      <c r="L412" s="43">
        <f>C412</f>
        <v>13.935000000000006</v>
      </c>
      <c r="M412" s="43"/>
      <c r="N412" s="43"/>
      <c r="O412" s="43"/>
      <c r="P412" s="43"/>
      <c r="Q412" s="43"/>
    </row>
    <row r="413" spans="1:17" ht="14.4" x14ac:dyDescent="0.25">
      <c r="A413" s="150"/>
      <c r="B413" s="15"/>
      <c r="C413" s="34">
        <f t="shared" si="329"/>
        <v>11.61</v>
      </c>
      <c r="D413" s="131">
        <v>4.3</v>
      </c>
      <c r="E413" s="17">
        <v>2.7</v>
      </c>
      <c r="F413" s="33">
        <v>1</v>
      </c>
      <c r="G413" s="45"/>
      <c r="H413" s="65">
        <f t="shared" ref="H413" si="381">C413</f>
        <v>11.61</v>
      </c>
      <c r="I413" s="42">
        <f t="shared" ref="I413" si="382">H413-J413</f>
        <v>11.61</v>
      </c>
      <c r="J413" s="43"/>
      <c r="K413" s="43"/>
      <c r="L413" s="43">
        <f t="shared" ref="L413" si="383">I413</f>
        <v>11.61</v>
      </c>
      <c r="M413" s="43"/>
      <c r="N413" s="43"/>
      <c r="O413" s="43"/>
      <c r="P413" s="43"/>
      <c r="Q413" s="43"/>
    </row>
    <row r="414" spans="1:17" ht="14.4" x14ac:dyDescent="0.25">
      <c r="A414" s="219">
        <v>5.62</v>
      </c>
      <c r="B414" s="220" t="s">
        <v>177</v>
      </c>
      <c r="C414" s="34">
        <f t="shared" si="329"/>
        <v>11.283000000000001</v>
      </c>
      <c r="D414" s="131">
        <f>10.13-4.94</f>
        <v>5.19</v>
      </c>
      <c r="E414" s="17">
        <v>2.7</v>
      </c>
      <c r="F414" s="33">
        <v>1</v>
      </c>
      <c r="G414" s="45">
        <v>2.73</v>
      </c>
      <c r="H414" s="65"/>
      <c r="I414" s="42"/>
      <c r="J414" s="43"/>
      <c r="K414" s="43"/>
      <c r="L414" s="43"/>
      <c r="M414" s="43">
        <f>C414</f>
        <v>11.283000000000001</v>
      </c>
      <c r="N414" s="43"/>
      <c r="O414" s="43"/>
      <c r="P414" s="43"/>
      <c r="Q414" s="43"/>
    </row>
    <row r="415" spans="1:17" ht="14.4" x14ac:dyDescent="0.25">
      <c r="A415" s="150"/>
      <c r="B415" s="157"/>
      <c r="C415" s="34">
        <f t="shared" si="329"/>
        <v>13.338000000000003</v>
      </c>
      <c r="D415" s="131">
        <v>4.9400000000000004</v>
      </c>
      <c r="E415" s="17">
        <v>2.7</v>
      </c>
      <c r="F415" s="33">
        <v>1</v>
      </c>
      <c r="G415" s="45"/>
      <c r="H415" s="65">
        <f t="shared" ref="H415" si="384">C415</f>
        <v>13.338000000000003</v>
      </c>
      <c r="I415" s="42">
        <f t="shared" ref="I415" si="385">H415-J415</f>
        <v>13.338000000000003</v>
      </c>
      <c r="J415" s="43"/>
      <c r="K415" s="43"/>
      <c r="L415" s="43"/>
      <c r="M415" s="43">
        <f>I415</f>
        <v>13.338000000000003</v>
      </c>
      <c r="N415" s="43"/>
      <c r="O415" s="43"/>
      <c r="P415" s="43"/>
      <c r="Q415" s="43"/>
    </row>
    <row r="416" spans="1:17" ht="14.4" x14ac:dyDescent="0.25">
      <c r="A416" s="219">
        <v>51.55</v>
      </c>
      <c r="B416" s="220" t="s">
        <v>265</v>
      </c>
      <c r="C416" s="34">
        <f t="shared" si="329"/>
        <v>23.543999999999997</v>
      </c>
      <c r="D416" s="131">
        <f>(31.63-15.43)-7.48</f>
        <v>8.7199999999999989</v>
      </c>
      <c r="E416" s="17">
        <v>2.7</v>
      </c>
      <c r="F416" s="33">
        <v>1</v>
      </c>
      <c r="G416" s="45"/>
      <c r="H416" s="65"/>
      <c r="I416" s="42"/>
      <c r="J416" s="43"/>
      <c r="K416" s="43"/>
      <c r="L416" s="43">
        <f>C416</f>
        <v>23.543999999999997</v>
      </c>
      <c r="M416" s="43"/>
      <c r="N416" s="43"/>
      <c r="O416" s="43"/>
      <c r="P416" s="43"/>
      <c r="Q416" s="43"/>
    </row>
    <row r="417" spans="1:17" ht="14.4" x14ac:dyDescent="0.25">
      <c r="A417" s="150"/>
      <c r="B417" s="15"/>
      <c r="C417" s="34">
        <f t="shared" si="329"/>
        <v>15.12</v>
      </c>
      <c r="D417" s="131">
        <f>15.43-9.83</f>
        <v>5.6</v>
      </c>
      <c r="E417" s="17">
        <v>2.7</v>
      </c>
      <c r="F417" s="33">
        <v>1</v>
      </c>
      <c r="G417" s="45"/>
      <c r="H417" s="65">
        <f t="shared" si="340"/>
        <v>15.12</v>
      </c>
      <c r="I417" s="42">
        <f t="shared" ref="I417:I447" si="386">H417-J417</f>
        <v>15.12</v>
      </c>
      <c r="J417" s="43"/>
      <c r="K417" s="43"/>
      <c r="L417" s="43">
        <f t="shared" ref="L417:L420" si="387">I417</f>
        <v>15.12</v>
      </c>
      <c r="M417" s="43"/>
      <c r="N417" s="43"/>
      <c r="O417" s="43"/>
      <c r="P417" s="43"/>
      <c r="Q417" s="43"/>
    </row>
    <row r="418" spans="1:17" ht="14.4" x14ac:dyDescent="0.25">
      <c r="A418" s="150"/>
      <c r="B418" s="15"/>
      <c r="C418" s="34">
        <f t="shared" si="329"/>
        <v>46.737000000000002</v>
      </c>
      <c r="D418" s="131">
        <v>17.309999999999999</v>
      </c>
      <c r="E418" s="17">
        <v>2.7</v>
      </c>
      <c r="F418" s="33">
        <v>1</v>
      </c>
      <c r="G418" s="45"/>
      <c r="H418" s="65"/>
      <c r="I418" s="42"/>
      <c r="J418" s="43"/>
      <c r="K418" s="43">
        <f>C418</f>
        <v>46.737000000000002</v>
      </c>
      <c r="L418" s="43"/>
      <c r="M418" s="43"/>
      <c r="N418" s="43"/>
      <c r="O418" s="43"/>
      <c r="P418" s="43"/>
      <c r="Q418" s="43"/>
    </row>
    <row r="419" spans="1:17" ht="14.4" x14ac:dyDescent="0.25">
      <c r="A419" s="150">
        <v>48.78</v>
      </c>
      <c r="B419" s="15" t="s">
        <v>265</v>
      </c>
      <c r="C419" s="34">
        <f t="shared" si="329"/>
        <v>22.869</v>
      </c>
      <c r="D419" s="131">
        <f>(30.49-15.24)-6.78</f>
        <v>8.4699999999999989</v>
      </c>
      <c r="E419" s="17">
        <v>2.7</v>
      </c>
      <c r="F419" s="33">
        <v>1</v>
      </c>
      <c r="G419" s="45"/>
      <c r="H419" s="65"/>
      <c r="I419" s="42"/>
      <c r="J419" s="43"/>
      <c r="K419" s="43"/>
      <c r="L419" s="43">
        <f>C419</f>
        <v>22.869</v>
      </c>
      <c r="M419" s="43"/>
      <c r="N419" s="43"/>
      <c r="O419" s="43"/>
      <c r="P419" s="43"/>
      <c r="Q419" s="43"/>
    </row>
    <row r="420" spans="1:17" ht="14.4" x14ac:dyDescent="0.25">
      <c r="A420" s="150"/>
      <c r="B420" s="15"/>
      <c r="C420" s="34">
        <f t="shared" si="329"/>
        <v>15.147</v>
      </c>
      <c r="D420" s="131">
        <f>15.24-9.63</f>
        <v>5.6099999999999994</v>
      </c>
      <c r="E420" s="17">
        <v>2.7</v>
      </c>
      <c r="F420" s="33">
        <v>1</v>
      </c>
      <c r="G420" s="45"/>
      <c r="H420" s="65">
        <f t="shared" si="340"/>
        <v>15.147</v>
      </c>
      <c r="I420" s="42">
        <f t="shared" si="386"/>
        <v>15.147</v>
      </c>
      <c r="J420" s="43"/>
      <c r="K420" s="43"/>
      <c r="L420" s="43">
        <f t="shared" si="387"/>
        <v>15.147</v>
      </c>
      <c r="M420" s="43"/>
      <c r="N420" s="43"/>
      <c r="O420" s="43"/>
      <c r="P420" s="43"/>
      <c r="Q420" s="43"/>
    </row>
    <row r="421" spans="1:17" ht="14.4" x14ac:dyDescent="0.25">
      <c r="A421" s="150"/>
      <c r="B421" s="15"/>
      <c r="C421" s="34">
        <f t="shared" si="329"/>
        <v>44.307000000000002</v>
      </c>
      <c r="D421" s="131">
        <v>16.41</v>
      </c>
      <c r="E421" s="17">
        <v>2.7</v>
      </c>
      <c r="F421" s="33">
        <v>1</v>
      </c>
      <c r="G421" s="45"/>
      <c r="H421" s="65"/>
      <c r="I421" s="42"/>
      <c r="J421" s="43"/>
      <c r="K421" s="43">
        <f>C421</f>
        <v>44.307000000000002</v>
      </c>
      <c r="L421" s="43"/>
      <c r="M421" s="43"/>
      <c r="N421" s="43"/>
      <c r="O421" s="43"/>
      <c r="P421" s="43"/>
      <c r="Q421" s="43"/>
    </row>
    <row r="422" spans="1:17" ht="14.4" x14ac:dyDescent="0.25">
      <c r="A422" s="150">
        <v>2.4900000000000002</v>
      </c>
      <c r="B422" s="15" t="s">
        <v>229</v>
      </c>
      <c r="C422" s="34">
        <f t="shared" si="329"/>
        <v>23.96</v>
      </c>
      <c r="D422" s="131">
        <f>10.97-4.98</f>
        <v>5.99</v>
      </c>
      <c r="E422" s="17">
        <v>4</v>
      </c>
      <c r="F422" s="33">
        <v>1</v>
      </c>
      <c r="G422" s="45"/>
      <c r="H422" s="65"/>
      <c r="I422" s="42"/>
      <c r="J422" s="43"/>
      <c r="K422" s="43"/>
      <c r="L422" s="43">
        <f>C422</f>
        <v>23.96</v>
      </c>
      <c r="M422" s="43"/>
      <c r="N422" s="43"/>
      <c r="O422" s="43"/>
      <c r="P422" s="43"/>
      <c r="Q422" s="43"/>
    </row>
    <row r="423" spans="1:17" ht="14.4" x14ac:dyDescent="0.25">
      <c r="A423" s="150"/>
      <c r="B423" s="15"/>
      <c r="C423" s="34">
        <f t="shared" si="329"/>
        <v>19.920000000000002</v>
      </c>
      <c r="D423" s="131">
        <v>4.9800000000000004</v>
      </c>
      <c r="E423" s="17">
        <v>4</v>
      </c>
      <c r="F423" s="33">
        <v>1</v>
      </c>
      <c r="G423" s="45"/>
      <c r="H423" s="65">
        <f t="shared" ref="H423" si="388">C423</f>
        <v>19.920000000000002</v>
      </c>
      <c r="I423" s="42">
        <f t="shared" ref="I423" si="389">H423-J423</f>
        <v>19.920000000000002</v>
      </c>
      <c r="J423" s="43"/>
      <c r="K423" s="43"/>
      <c r="L423" s="43">
        <f t="shared" ref="L423" si="390">I423</f>
        <v>19.920000000000002</v>
      </c>
      <c r="M423" s="43"/>
      <c r="N423" s="43"/>
      <c r="O423" s="43"/>
      <c r="P423" s="43"/>
      <c r="Q423" s="43"/>
    </row>
    <row r="424" spans="1:17" ht="14.4" x14ac:dyDescent="0.25">
      <c r="A424" s="219">
        <v>28.38</v>
      </c>
      <c r="B424" s="220" t="s">
        <v>266</v>
      </c>
      <c r="C424" s="34">
        <f t="shared" si="329"/>
        <v>79.785000000000011</v>
      </c>
      <c r="D424" s="131">
        <f>(23.18-7.48)-(2+3.85)</f>
        <v>9.85</v>
      </c>
      <c r="E424" s="17">
        <v>2.7</v>
      </c>
      <c r="F424" s="33">
        <v>3</v>
      </c>
      <c r="G424" s="45"/>
      <c r="H424" s="65"/>
      <c r="I424" s="42"/>
      <c r="J424" s="43"/>
      <c r="K424" s="43"/>
      <c r="L424" s="43">
        <f>C424</f>
        <v>79.785000000000011</v>
      </c>
      <c r="M424" s="43"/>
      <c r="N424" s="43"/>
      <c r="O424" s="43"/>
      <c r="P424" s="43"/>
      <c r="Q424" s="43"/>
    </row>
    <row r="425" spans="1:17" ht="14.4" x14ac:dyDescent="0.25">
      <c r="A425" s="150"/>
      <c r="B425" s="157"/>
      <c r="C425" s="34">
        <f t="shared" si="329"/>
        <v>31.185000000000002</v>
      </c>
      <c r="D425" s="131">
        <v>3.85</v>
      </c>
      <c r="E425" s="17">
        <v>2.7</v>
      </c>
      <c r="F425" s="33">
        <v>3</v>
      </c>
      <c r="G425" s="45"/>
      <c r="H425" s="65">
        <f t="shared" ref="H425" si="391">C425</f>
        <v>31.185000000000002</v>
      </c>
      <c r="I425" s="42">
        <f t="shared" ref="I425" si="392">H425-J425</f>
        <v>31.185000000000002</v>
      </c>
      <c r="J425" s="43"/>
      <c r="K425" s="43"/>
      <c r="L425" s="43">
        <f t="shared" ref="L425" si="393">I425</f>
        <v>31.185000000000002</v>
      </c>
      <c r="M425" s="43"/>
      <c r="N425" s="43"/>
      <c r="O425" s="43"/>
      <c r="P425" s="43"/>
      <c r="Q425" s="43"/>
    </row>
    <row r="426" spans="1:17" ht="14.4" x14ac:dyDescent="0.25">
      <c r="A426" s="150"/>
      <c r="B426" s="157"/>
      <c r="C426" s="34">
        <f t="shared" si="329"/>
        <v>60.588000000000008</v>
      </c>
      <c r="D426" s="131">
        <v>7.48</v>
      </c>
      <c r="E426" s="17">
        <v>2.7</v>
      </c>
      <c r="F426" s="33">
        <v>3</v>
      </c>
      <c r="G426" s="45"/>
      <c r="H426" s="65"/>
      <c r="I426" s="42"/>
      <c r="J426" s="43"/>
      <c r="K426" s="43">
        <f>C426</f>
        <v>60.588000000000008</v>
      </c>
      <c r="L426" s="43"/>
      <c r="M426" s="43"/>
      <c r="N426" s="43"/>
      <c r="O426" s="43"/>
      <c r="P426" s="43"/>
      <c r="Q426" s="43"/>
    </row>
    <row r="427" spans="1:17" ht="14.4" x14ac:dyDescent="0.25">
      <c r="A427" s="150">
        <v>31.07</v>
      </c>
      <c r="B427" s="15" t="s">
        <v>267</v>
      </c>
      <c r="C427" s="34">
        <f t="shared" si="329"/>
        <v>151.87499999999997</v>
      </c>
      <c r="D427" s="131">
        <f>(24.58-7.48)-(2+3.85)</f>
        <v>11.249999999999998</v>
      </c>
      <c r="E427" s="17">
        <v>2.7</v>
      </c>
      <c r="F427" s="33">
        <v>5</v>
      </c>
      <c r="G427" s="45"/>
      <c r="H427" s="65"/>
      <c r="I427" s="42"/>
      <c r="J427" s="43"/>
      <c r="K427" s="43"/>
      <c r="L427" s="43">
        <f>C427</f>
        <v>151.87499999999997</v>
      </c>
      <c r="M427" s="43"/>
      <c r="N427" s="43"/>
      <c r="O427" s="43"/>
      <c r="P427" s="43"/>
      <c r="Q427" s="43"/>
    </row>
    <row r="428" spans="1:17" ht="14.4" x14ac:dyDescent="0.25">
      <c r="A428" s="150"/>
      <c r="B428" s="15"/>
      <c r="C428" s="34">
        <f t="shared" si="329"/>
        <v>51.975000000000009</v>
      </c>
      <c r="D428" s="131">
        <v>3.85</v>
      </c>
      <c r="E428" s="17">
        <v>2.7</v>
      </c>
      <c r="F428" s="33">
        <v>5</v>
      </c>
      <c r="G428" s="45"/>
      <c r="H428" s="65">
        <f t="shared" ref="H428" si="394">C428</f>
        <v>51.975000000000009</v>
      </c>
      <c r="I428" s="42">
        <f t="shared" ref="I428" si="395">H428-J428</f>
        <v>51.975000000000009</v>
      </c>
      <c r="J428" s="43"/>
      <c r="K428" s="43"/>
      <c r="L428" s="43">
        <f t="shared" ref="L428" si="396">I428</f>
        <v>51.975000000000009</v>
      </c>
      <c r="M428" s="43"/>
      <c r="N428" s="43"/>
      <c r="O428" s="43"/>
      <c r="P428" s="43"/>
      <c r="Q428" s="43"/>
    </row>
    <row r="429" spans="1:17" ht="14.4" x14ac:dyDescent="0.25">
      <c r="A429" s="150"/>
      <c r="B429" s="15"/>
      <c r="C429" s="34">
        <f t="shared" si="329"/>
        <v>100.98</v>
      </c>
      <c r="D429" s="131">
        <v>7.48</v>
      </c>
      <c r="E429" s="17">
        <v>2.7</v>
      </c>
      <c r="F429" s="33">
        <v>5</v>
      </c>
      <c r="G429" s="45"/>
      <c r="H429" s="65"/>
      <c r="I429" s="42"/>
      <c r="J429" s="43"/>
      <c r="K429" s="43">
        <f>C429</f>
        <v>100.98</v>
      </c>
      <c r="L429" s="43"/>
      <c r="M429" s="43"/>
      <c r="N429" s="43"/>
      <c r="O429" s="43"/>
      <c r="P429" s="43"/>
      <c r="Q429" s="43"/>
    </row>
    <row r="430" spans="1:17" ht="14.4" x14ac:dyDescent="0.25">
      <c r="A430" s="150">
        <v>4.46</v>
      </c>
      <c r="B430" s="15" t="s">
        <v>260</v>
      </c>
      <c r="C430" s="34">
        <f t="shared" si="329"/>
        <v>81.299999999999983</v>
      </c>
      <c r="D430" s="131">
        <f>8.7-2.7</f>
        <v>5.9999999999999991</v>
      </c>
      <c r="E430" s="17">
        <v>2.71</v>
      </c>
      <c r="F430" s="33">
        <v>5</v>
      </c>
      <c r="G430" s="45"/>
      <c r="H430" s="65"/>
      <c r="I430" s="42"/>
      <c r="J430" s="43"/>
      <c r="K430" s="43"/>
      <c r="L430" s="43"/>
      <c r="M430" s="43"/>
      <c r="N430" s="43"/>
      <c r="O430" s="43"/>
      <c r="P430" s="43">
        <f>C430</f>
        <v>81.299999999999983</v>
      </c>
      <c r="Q430" s="43"/>
    </row>
    <row r="431" spans="1:17" ht="14.4" x14ac:dyDescent="0.25">
      <c r="A431" s="150"/>
      <c r="B431" s="15"/>
      <c r="C431" s="34">
        <f t="shared" si="329"/>
        <v>7.3170000000000002</v>
      </c>
      <c r="D431" s="131">
        <v>2.7</v>
      </c>
      <c r="E431" s="17">
        <v>2.71</v>
      </c>
      <c r="F431" s="33">
        <v>1</v>
      </c>
      <c r="G431" s="45"/>
      <c r="H431" s="65">
        <f t="shared" ref="H431" si="397">C431</f>
        <v>7.3170000000000002</v>
      </c>
      <c r="I431" s="42"/>
      <c r="J431" s="43">
        <f t="shared" ref="J431" si="398">H431-I431</f>
        <v>7.3170000000000002</v>
      </c>
      <c r="K431" s="43"/>
      <c r="L431" s="43"/>
      <c r="M431" s="43"/>
      <c r="N431" s="43"/>
      <c r="O431" s="43"/>
      <c r="P431" s="43">
        <f t="shared" ref="P431" si="399">J431</f>
        <v>7.3170000000000002</v>
      </c>
      <c r="Q431" s="43"/>
    </row>
    <row r="432" spans="1:17" ht="14.4" x14ac:dyDescent="0.25">
      <c r="A432" s="150">
        <v>4.32</v>
      </c>
      <c r="B432" s="15" t="s">
        <v>260</v>
      </c>
      <c r="C432" s="34">
        <f t="shared" si="329"/>
        <v>31.977999999999998</v>
      </c>
      <c r="D432" s="131">
        <f>8.6-2.7</f>
        <v>5.8999999999999995</v>
      </c>
      <c r="E432" s="17">
        <v>2.71</v>
      </c>
      <c r="F432" s="33">
        <v>2</v>
      </c>
      <c r="G432" s="45"/>
      <c r="H432" s="65"/>
      <c r="I432" s="42"/>
      <c r="J432" s="43"/>
      <c r="K432" s="43"/>
      <c r="L432" s="43"/>
      <c r="M432" s="43"/>
      <c r="N432" s="43"/>
      <c r="O432" s="43"/>
      <c r="P432" s="43">
        <f>C432</f>
        <v>31.977999999999998</v>
      </c>
      <c r="Q432" s="43"/>
    </row>
    <row r="433" spans="1:18" ht="14.4" x14ac:dyDescent="0.25">
      <c r="A433" s="150"/>
      <c r="B433" s="15"/>
      <c r="C433" s="34">
        <f t="shared" si="329"/>
        <v>14.634</v>
      </c>
      <c r="D433" s="131">
        <v>2.7</v>
      </c>
      <c r="E433" s="17">
        <v>2.71</v>
      </c>
      <c r="F433" s="33">
        <v>2</v>
      </c>
      <c r="G433" s="45"/>
      <c r="H433" s="65">
        <f t="shared" ref="H433" si="400">C433</f>
        <v>14.634</v>
      </c>
      <c r="I433" s="42"/>
      <c r="J433" s="43">
        <f t="shared" ref="J433" si="401">H433-I433</f>
        <v>14.634</v>
      </c>
      <c r="K433" s="43"/>
      <c r="L433" s="43"/>
      <c r="M433" s="43"/>
      <c r="N433" s="43"/>
      <c r="O433" s="43"/>
      <c r="P433" s="43">
        <f t="shared" ref="P433" si="402">J433</f>
        <v>14.634</v>
      </c>
      <c r="Q433" s="43"/>
    </row>
    <row r="434" spans="1:18" ht="14.4" x14ac:dyDescent="0.25">
      <c r="A434" s="150">
        <v>4.59</v>
      </c>
      <c r="B434" s="15" t="s">
        <v>260</v>
      </c>
      <c r="C434" s="34">
        <f t="shared" si="329"/>
        <v>49.593000000000004</v>
      </c>
      <c r="D434" s="131">
        <f>8.8-2.7</f>
        <v>6.1000000000000005</v>
      </c>
      <c r="E434" s="17">
        <v>2.71</v>
      </c>
      <c r="F434" s="33">
        <v>3</v>
      </c>
      <c r="G434" s="45"/>
      <c r="H434" s="65"/>
      <c r="I434" s="42"/>
      <c r="J434" s="43"/>
      <c r="K434" s="43"/>
      <c r="L434" s="43"/>
      <c r="M434" s="43"/>
      <c r="N434" s="43"/>
      <c r="O434" s="43"/>
      <c r="P434" s="43">
        <f>C434</f>
        <v>49.593000000000004</v>
      </c>
      <c r="Q434" s="43"/>
    </row>
    <row r="435" spans="1:18" ht="14.4" x14ac:dyDescent="0.25">
      <c r="A435" s="150"/>
      <c r="B435" s="15"/>
      <c r="C435" s="34">
        <f t="shared" si="329"/>
        <v>7.3170000000000002</v>
      </c>
      <c r="D435" s="131">
        <v>2.7</v>
      </c>
      <c r="E435" s="17">
        <v>2.71</v>
      </c>
      <c r="F435" s="33">
        <v>1</v>
      </c>
      <c r="G435" s="45"/>
      <c r="H435" s="65">
        <f t="shared" ref="H435" si="403">C435</f>
        <v>7.3170000000000002</v>
      </c>
      <c r="I435" s="42"/>
      <c r="J435" s="43">
        <f t="shared" ref="J435" si="404">H435-I435</f>
        <v>7.3170000000000002</v>
      </c>
      <c r="K435" s="43"/>
      <c r="L435" s="43"/>
      <c r="M435" s="43"/>
      <c r="N435" s="43"/>
      <c r="O435" s="43"/>
      <c r="P435" s="43">
        <f t="shared" ref="P435" si="405">J435</f>
        <v>7.3170000000000002</v>
      </c>
      <c r="Q435" s="43"/>
    </row>
    <row r="436" spans="1:18" ht="14.4" x14ac:dyDescent="0.25">
      <c r="A436" s="150">
        <v>5.52</v>
      </c>
      <c r="B436" s="15" t="s">
        <v>268</v>
      </c>
      <c r="C436" s="34">
        <f t="shared" si="329"/>
        <v>60.426000000000009</v>
      </c>
      <c r="D436" s="131">
        <f>9.46-2</f>
        <v>7.4600000000000009</v>
      </c>
      <c r="E436" s="17">
        <v>2.7</v>
      </c>
      <c r="F436" s="33">
        <v>3</v>
      </c>
      <c r="G436" s="45"/>
      <c r="H436" s="65"/>
      <c r="I436" s="42"/>
      <c r="J436" s="43"/>
      <c r="K436" s="43"/>
      <c r="L436" s="43">
        <f>C436</f>
        <v>60.426000000000009</v>
      </c>
      <c r="M436" s="43"/>
      <c r="N436" s="43"/>
      <c r="O436" s="43"/>
      <c r="P436" s="43"/>
      <c r="Q436" s="43"/>
    </row>
    <row r="437" spans="1:18" ht="14.4" x14ac:dyDescent="0.25">
      <c r="A437" s="150">
        <v>5.17</v>
      </c>
      <c r="B437" s="15" t="s">
        <v>268</v>
      </c>
      <c r="C437" s="34">
        <f t="shared" si="329"/>
        <v>100.57499999999999</v>
      </c>
      <c r="D437" s="131">
        <f>9.45-2</f>
        <v>7.4499999999999993</v>
      </c>
      <c r="E437" s="17">
        <v>2.7</v>
      </c>
      <c r="F437" s="33">
        <v>5</v>
      </c>
      <c r="G437" s="45"/>
      <c r="H437" s="65"/>
      <c r="I437" s="42"/>
      <c r="J437" s="43"/>
      <c r="K437" s="43"/>
      <c r="L437" s="43">
        <f>C437</f>
        <v>100.57499999999999</v>
      </c>
      <c r="M437" s="43"/>
      <c r="N437" s="43"/>
      <c r="O437" s="43"/>
      <c r="P437" s="43"/>
      <c r="Q437" s="43"/>
    </row>
    <row r="438" spans="1:18" ht="14.4" x14ac:dyDescent="0.25">
      <c r="A438" s="150">
        <v>2.84</v>
      </c>
      <c r="B438" s="15" t="s">
        <v>269</v>
      </c>
      <c r="C438" s="34">
        <f t="shared" si="329"/>
        <v>14.364000000000003</v>
      </c>
      <c r="D438" s="131">
        <f>7.07-1.75</f>
        <v>5.32</v>
      </c>
      <c r="E438" s="17">
        <v>2.7</v>
      </c>
      <c r="F438" s="33">
        <v>1</v>
      </c>
      <c r="G438" s="261"/>
      <c r="H438" s="65"/>
      <c r="I438" s="42"/>
      <c r="J438" s="43"/>
      <c r="K438" s="43"/>
      <c r="L438" s="43">
        <f>C438</f>
        <v>14.364000000000003</v>
      </c>
      <c r="M438" s="43"/>
      <c r="N438" s="43"/>
      <c r="O438" s="43"/>
      <c r="P438" s="43"/>
      <c r="Q438" s="43"/>
    </row>
    <row r="439" spans="1:18" ht="15" thickBot="1" x14ac:dyDescent="0.3">
      <c r="A439" s="276"/>
      <c r="B439" s="444"/>
      <c r="C439" s="445">
        <f t="shared" si="329"/>
        <v>4.7250000000000005</v>
      </c>
      <c r="D439" s="434">
        <v>1.75</v>
      </c>
      <c r="E439" s="435">
        <v>2.7</v>
      </c>
      <c r="F439" s="436">
        <v>1</v>
      </c>
      <c r="G439" s="437"/>
      <c r="H439" s="332">
        <f t="shared" ref="H439" si="406">C439</f>
        <v>4.7250000000000005</v>
      </c>
      <c r="I439" s="333">
        <f t="shared" ref="I439" si="407">H439-J439</f>
        <v>4.7250000000000005</v>
      </c>
      <c r="J439" s="334"/>
      <c r="K439" s="334"/>
      <c r="L439" s="334">
        <f t="shared" ref="L439" si="408">I439</f>
        <v>4.7250000000000005</v>
      </c>
      <c r="M439" s="433"/>
      <c r="N439" s="433"/>
      <c r="O439" s="433"/>
      <c r="P439" s="433"/>
      <c r="Q439" s="433"/>
    </row>
    <row r="440" spans="1:18" ht="14.4" x14ac:dyDescent="0.25">
      <c r="A440" s="219">
        <v>24.19</v>
      </c>
      <c r="B440" s="320" t="s">
        <v>374</v>
      </c>
      <c r="C440" s="321">
        <f t="shared" si="329"/>
        <v>119.44450000000001</v>
      </c>
      <c r="D440" s="322">
        <v>31.57</v>
      </c>
      <c r="E440" s="323">
        <v>3.85</v>
      </c>
      <c r="F440" s="29">
        <v>1</v>
      </c>
      <c r="G440" s="45">
        <v>2.1</v>
      </c>
      <c r="H440" s="324">
        <f t="shared" si="340"/>
        <v>119.44450000000001</v>
      </c>
      <c r="I440" s="325">
        <f t="shared" si="386"/>
        <v>119.44450000000001</v>
      </c>
      <c r="J440" s="326"/>
      <c r="K440" s="326"/>
      <c r="L440" s="326"/>
      <c r="M440" s="326">
        <f>I440</f>
        <v>119.44450000000001</v>
      </c>
      <c r="N440" s="326"/>
      <c r="O440" s="326"/>
      <c r="P440" s="326"/>
      <c r="Q440" s="326"/>
    </row>
    <row r="441" spans="1:18" ht="14.4" x14ac:dyDescent="0.25">
      <c r="A441" s="150">
        <v>7</v>
      </c>
      <c r="B441" s="262" t="s">
        <v>177</v>
      </c>
      <c r="C441" s="34">
        <f t="shared" si="329"/>
        <v>26.970000000000002</v>
      </c>
      <c r="D441" s="131">
        <v>11</v>
      </c>
      <c r="E441" s="17">
        <v>2.7</v>
      </c>
      <c r="F441" s="33">
        <v>1</v>
      </c>
      <c r="G441" s="261">
        <v>2.73</v>
      </c>
      <c r="H441" s="65">
        <f t="shared" si="340"/>
        <v>26.970000000000002</v>
      </c>
      <c r="I441" s="42">
        <f t="shared" si="386"/>
        <v>26.970000000000002</v>
      </c>
      <c r="J441" s="43"/>
      <c r="K441" s="43"/>
      <c r="L441" s="43"/>
      <c r="M441" s="43">
        <f t="shared" ref="M441:M445" si="409">I441</f>
        <v>26.970000000000002</v>
      </c>
      <c r="N441" s="43"/>
      <c r="O441" s="43"/>
      <c r="P441" s="43"/>
      <c r="Q441" s="43"/>
      <c r="R441" s="525"/>
    </row>
    <row r="442" spans="1:18" ht="14.4" x14ac:dyDescent="0.25">
      <c r="A442" s="219">
        <v>100.1</v>
      </c>
      <c r="B442" s="317" t="s">
        <v>375</v>
      </c>
      <c r="C442" s="34">
        <f t="shared" si="329"/>
        <v>122.34840000000001</v>
      </c>
      <c r="D442" s="131">
        <f>50.13-1.5</f>
        <v>48.63</v>
      </c>
      <c r="E442" s="17">
        <v>2.68</v>
      </c>
      <c r="F442" s="33">
        <v>1</v>
      </c>
      <c r="G442" s="261">
        <v>7.98</v>
      </c>
      <c r="H442" s="65">
        <f t="shared" si="340"/>
        <v>122.34840000000001</v>
      </c>
      <c r="I442" s="42">
        <f t="shared" si="386"/>
        <v>122.34840000000001</v>
      </c>
      <c r="J442" s="43"/>
      <c r="K442" s="43"/>
      <c r="L442" s="43"/>
      <c r="M442" s="43">
        <f t="shared" si="409"/>
        <v>122.34840000000001</v>
      </c>
      <c r="N442" s="43"/>
      <c r="O442" s="43"/>
      <c r="P442" s="43"/>
      <c r="Q442" s="43"/>
    </row>
    <row r="443" spans="1:18" ht="14.4" x14ac:dyDescent="0.25">
      <c r="A443" s="150">
        <v>7.95</v>
      </c>
      <c r="B443" s="260" t="s">
        <v>168</v>
      </c>
      <c r="C443" s="34">
        <f t="shared" si="329"/>
        <v>29.698000000000004</v>
      </c>
      <c r="D443" s="131">
        <f>13.6-1.5</f>
        <v>12.1</v>
      </c>
      <c r="E443" s="17">
        <v>2.68</v>
      </c>
      <c r="F443" s="33">
        <v>1</v>
      </c>
      <c r="G443" s="261">
        <v>2.73</v>
      </c>
      <c r="H443" s="65">
        <f t="shared" ref="H443" si="410">C443</f>
        <v>29.698000000000004</v>
      </c>
      <c r="I443" s="42">
        <f t="shared" ref="I443" si="411">H443-J443</f>
        <v>29.698000000000004</v>
      </c>
      <c r="J443" s="43"/>
      <c r="K443" s="43"/>
      <c r="L443" s="43"/>
      <c r="M443" s="43">
        <f t="shared" ref="M443" si="412">I443</f>
        <v>29.698000000000004</v>
      </c>
      <c r="N443" s="43"/>
      <c r="O443" s="43"/>
      <c r="P443" s="43"/>
      <c r="Q443" s="43"/>
    </row>
    <row r="444" spans="1:18" ht="14.4" x14ac:dyDescent="0.25">
      <c r="A444" s="150">
        <v>143.94999999999999</v>
      </c>
      <c r="B444" s="260" t="s">
        <v>376</v>
      </c>
      <c r="C444" s="34">
        <f t="shared" si="329"/>
        <v>130.17759999999998</v>
      </c>
      <c r="D444" s="131">
        <v>103.67</v>
      </c>
      <c r="E444" s="17">
        <v>1.28</v>
      </c>
      <c r="F444" s="33">
        <v>1</v>
      </c>
      <c r="G444" s="261">
        <v>2.52</v>
      </c>
      <c r="H444" s="65">
        <f t="shared" si="340"/>
        <v>130.17759999999998</v>
      </c>
      <c r="I444" s="42">
        <f t="shared" si="386"/>
        <v>130.17759999999998</v>
      </c>
      <c r="J444" s="43"/>
      <c r="K444" s="43"/>
      <c r="L444" s="43"/>
      <c r="M444" s="43">
        <f t="shared" si="409"/>
        <v>130.17759999999998</v>
      </c>
      <c r="N444" s="43"/>
      <c r="O444" s="43"/>
      <c r="P444" s="43"/>
      <c r="Q444" s="43"/>
    </row>
    <row r="445" spans="1:18" ht="14.4" x14ac:dyDescent="0.25">
      <c r="A445" s="219">
        <v>35</v>
      </c>
      <c r="B445" s="317" t="s">
        <v>377</v>
      </c>
      <c r="C445" s="34">
        <f t="shared" si="329"/>
        <v>54.845000000000006</v>
      </c>
      <c r="D445" s="131">
        <v>24.5</v>
      </c>
      <c r="E445" s="17">
        <v>2.35</v>
      </c>
      <c r="F445" s="33">
        <v>1</v>
      </c>
      <c r="G445" s="261">
        <v>2.73</v>
      </c>
      <c r="H445" s="65">
        <f t="shared" si="340"/>
        <v>54.845000000000006</v>
      </c>
      <c r="I445" s="42">
        <f t="shared" si="386"/>
        <v>54.845000000000006</v>
      </c>
      <c r="J445" s="43"/>
      <c r="K445" s="43"/>
      <c r="L445" s="43"/>
      <c r="M445" s="43">
        <f t="shared" si="409"/>
        <v>54.845000000000006</v>
      </c>
      <c r="N445" s="43"/>
      <c r="O445" s="43"/>
      <c r="P445" s="43"/>
      <c r="Q445" s="43"/>
    </row>
    <row r="446" spans="1:18" ht="14.4" x14ac:dyDescent="0.25">
      <c r="A446" s="219">
        <v>21.77</v>
      </c>
      <c r="B446" s="317" t="s">
        <v>378</v>
      </c>
      <c r="C446" s="34">
        <f t="shared" si="329"/>
        <v>25.966599999999996</v>
      </c>
      <c r="D446" s="131">
        <f>18.72-9.35</f>
        <v>9.3699999999999992</v>
      </c>
      <c r="E446" s="17">
        <v>4.18</v>
      </c>
      <c r="F446" s="33">
        <v>1</v>
      </c>
      <c r="G446" s="261">
        <v>13.2</v>
      </c>
      <c r="H446" s="65">
        <f t="shared" si="340"/>
        <v>25.966599999999996</v>
      </c>
      <c r="I446" s="42">
        <f t="shared" si="386"/>
        <v>25.966599999999996</v>
      </c>
      <c r="J446" s="43"/>
      <c r="K446" s="43"/>
      <c r="L446" s="43">
        <f>I446</f>
        <v>25.966599999999996</v>
      </c>
      <c r="M446" s="43"/>
      <c r="N446" s="43"/>
      <c r="O446" s="43"/>
      <c r="P446" s="43"/>
      <c r="Q446" s="43"/>
    </row>
    <row r="447" spans="1:18" ht="14.4" x14ac:dyDescent="0.25">
      <c r="A447" s="150">
        <v>63</v>
      </c>
      <c r="B447" s="260" t="s">
        <v>379</v>
      </c>
      <c r="C447" s="34">
        <f t="shared" si="329"/>
        <v>102.28999999999999</v>
      </c>
      <c r="D447" s="131">
        <f>36.03-8.53</f>
        <v>27.5</v>
      </c>
      <c r="E447" s="17">
        <v>4.18</v>
      </c>
      <c r="F447" s="33">
        <v>1</v>
      </c>
      <c r="G447" s="261">
        <v>12.66</v>
      </c>
      <c r="H447" s="65">
        <f t="shared" si="340"/>
        <v>102.28999999999999</v>
      </c>
      <c r="I447" s="42">
        <f t="shared" si="386"/>
        <v>102.28999999999999</v>
      </c>
      <c r="J447" s="43"/>
      <c r="K447" s="43"/>
      <c r="L447" s="43">
        <f>I447</f>
        <v>102.28999999999999</v>
      </c>
      <c r="M447" s="43"/>
      <c r="N447" s="43"/>
      <c r="O447" s="43"/>
      <c r="P447" s="43"/>
      <c r="Q447" s="43"/>
    </row>
    <row r="448" spans="1:18" ht="19.95" customHeight="1" x14ac:dyDescent="0.25">
      <c r="A448" s="151"/>
      <c r="B448" s="256" t="s">
        <v>22</v>
      </c>
      <c r="C448" s="255">
        <f>SUM(C359:C447)</f>
        <v>2784.9031999999988</v>
      </c>
      <c r="D448" s="255"/>
      <c r="E448" s="255"/>
      <c r="F448" s="255"/>
      <c r="G448" s="255"/>
      <c r="H448" s="255">
        <f t="shared" ref="H448:Q448" si="413">SUM(H359:H447)</f>
        <v>983.24289999999996</v>
      </c>
      <c r="I448" s="255">
        <f t="shared" si="413"/>
        <v>935.93510000000003</v>
      </c>
      <c r="J448" s="255">
        <f t="shared" si="413"/>
        <v>47.3078</v>
      </c>
      <c r="K448" s="255">
        <f t="shared" si="413"/>
        <v>265.113</v>
      </c>
      <c r="L448" s="255">
        <f t="shared" si="413"/>
        <v>1622.2945999999999</v>
      </c>
      <c r="M448" s="255">
        <f t="shared" si="413"/>
        <v>508.10450000000003</v>
      </c>
      <c r="N448" s="255">
        <f t="shared" si="413"/>
        <v>0</v>
      </c>
      <c r="O448" s="255">
        <f t="shared" si="413"/>
        <v>0</v>
      </c>
      <c r="P448" s="255">
        <f t="shared" si="413"/>
        <v>342.58940000000007</v>
      </c>
      <c r="Q448" s="255">
        <f t="shared" si="413"/>
        <v>46.801699999999997</v>
      </c>
      <c r="R448" s="1"/>
    </row>
    <row r="449" spans="1:18" ht="19.95" customHeight="1" x14ac:dyDescent="0.25">
      <c r="A449" s="151"/>
      <c r="B449" s="257"/>
      <c r="C449" s="127"/>
      <c r="D449" s="127"/>
      <c r="E449" s="127"/>
      <c r="F449" s="127"/>
      <c r="G449" s="127"/>
      <c r="H449" s="127"/>
      <c r="I449" s="127"/>
      <c r="J449" s="127"/>
      <c r="K449" s="127"/>
      <c r="L449" s="258">
        <v>1</v>
      </c>
      <c r="M449" s="258">
        <v>4</v>
      </c>
      <c r="N449" s="258">
        <v>5</v>
      </c>
      <c r="O449" s="258">
        <v>6</v>
      </c>
      <c r="P449" s="258">
        <v>3</v>
      </c>
      <c r="Q449" s="259">
        <v>2</v>
      </c>
    </row>
    <row r="450" spans="1:18" ht="40.049999999999997" customHeight="1" x14ac:dyDescent="0.25">
      <c r="B450" s="843" t="s">
        <v>16</v>
      </c>
      <c r="C450" s="839" t="s">
        <v>17</v>
      </c>
      <c r="D450" s="839" t="s">
        <v>18</v>
      </c>
      <c r="E450" s="839" t="s">
        <v>28</v>
      </c>
      <c r="F450" s="842" t="s">
        <v>19</v>
      </c>
      <c r="G450" s="842" t="s">
        <v>13</v>
      </c>
      <c r="H450" s="842" t="s">
        <v>24</v>
      </c>
      <c r="I450" s="842" t="s">
        <v>45</v>
      </c>
      <c r="J450" s="842" t="s">
        <v>26</v>
      </c>
      <c r="K450" s="844" t="s">
        <v>864</v>
      </c>
      <c r="L450" s="842" t="s">
        <v>69</v>
      </c>
      <c r="M450" s="842" t="s">
        <v>73</v>
      </c>
      <c r="N450" s="842" t="s">
        <v>76</v>
      </c>
      <c r="O450" s="842" t="s">
        <v>77</v>
      </c>
      <c r="P450" s="842" t="s">
        <v>72</v>
      </c>
      <c r="Q450" s="842" t="s">
        <v>70</v>
      </c>
    </row>
    <row r="451" spans="1:18" ht="40.049999999999997" customHeight="1" x14ac:dyDescent="0.25">
      <c r="B451" s="840"/>
      <c r="C451" s="841"/>
      <c r="D451" s="841"/>
      <c r="E451" s="841"/>
      <c r="F451" s="839"/>
      <c r="G451" s="839"/>
      <c r="H451" s="839"/>
      <c r="I451" s="839"/>
      <c r="J451" s="839"/>
      <c r="K451" s="845"/>
      <c r="L451" s="839"/>
      <c r="M451" s="839"/>
      <c r="N451" s="839"/>
      <c r="O451" s="839"/>
      <c r="P451" s="839"/>
      <c r="Q451" s="839"/>
    </row>
    <row r="452" spans="1:18" ht="15.6" x14ac:dyDescent="0.25">
      <c r="A452" s="141" t="s">
        <v>66</v>
      </c>
      <c r="B452" s="59" t="s">
        <v>61</v>
      </c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1"/>
    </row>
    <row r="453" spans="1:18" ht="14.4" x14ac:dyDescent="0.25">
      <c r="A453" s="150">
        <v>19.14</v>
      </c>
      <c r="B453" s="15" t="s">
        <v>205</v>
      </c>
      <c r="C453" s="34">
        <f t="shared" ref="C453:C559" si="414">D453*E453*F453-G453</f>
        <v>12.866999999999997</v>
      </c>
      <c r="D453" s="131">
        <f>17.95-9.74</f>
        <v>8.2099999999999991</v>
      </c>
      <c r="E453" s="17">
        <v>2.7</v>
      </c>
      <c r="F453" s="33">
        <v>1</v>
      </c>
      <c r="G453" s="45">
        <v>9.3000000000000007</v>
      </c>
      <c r="H453" s="65"/>
      <c r="I453" s="42"/>
      <c r="J453" s="43"/>
      <c r="K453" s="43"/>
      <c r="L453" s="43">
        <f>C453</f>
        <v>12.866999999999997</v>
      </c>
      <c r="M453" s="43"/>
      <c r="N453" s="43"/>
      <c r="O453" s="43"/>
      <c r="P453" s="43"/>
      <c r="Q453" s="43"/>
    </row>
    <row r="454" spans="1:18" ht="14.4" x14ac:dyDescent="0.25">
      <c r="A454" s="150"/>
      <c r="B454" s="15"/>
      <c r="C454" s="34">
        <f t="shared" si="414"/>
        <v>26.298000000000002</v>
      </c>
      <c r="D454" s="131">
        <v>9.74</v>
      </c>
      <c r="E454" s="17">
        <v>2.7</v>
      </c>
      <c r="F454" s="33">
        <v>1</v>
      </c>
      <c r="G454" s="45"/>
      <c r="H454" s="65">
        <f t="shared" ref="H454" si="415">C454</f>
        <v>26.298000000000002</v>
      </c>
      <c r="I454" s="42">
        <f t="shared" ref="I454" si="416">H454-J454</f>
        <v>26.298000000000002</v>
      </c>
      <c r="J454" s="43"/>
      <c r="K454" s="43"/>
      <c r="L454" s="43">
        <f>I454</f>
        <v>26.298000000000002</v>
      </c>
      <c r="M454" s="43"/>
      <c r="N454" s="43"/>
      <c r="O454" s="43"/>
      <c r="P454" s="43"/>
      <c r="Q454" s="43"/>
    </row>
    <row r="455" spans="1:18" ht="14.4" x14ac:dyDescent="0.25">
      <c r="A455" s="150">
        <v>0.45</v>
      </c>
      <c r="B455" s="15" t="s">
        <v>229</v>
      </c>
      <c r="C455" s="34">
        <f t="shared" si="414"/>
        <v>3.8699999999999997</v>
      </c>
      <c r="D455" s="131">
        <f>3.86-1.93</f>
        <v>1.93</v>
      </c>
      <c r="E455" s="17">
        <v>4</v>
      </c>
      <c r="F455" s="33">
        <v>1</v>
      </c>
      <c r="G455" s="45">
        <v>3.85</v>
      </c>
      <c r="H455" s="65"/>
      <c r="I455" s="42"/>
      <c r="J455" s="43"/>
      <c r="K455" s="43"/>
      <c r="L455" s="43">
        <f>C455</f>
        <v>3.8699999999999997</v>
      </c>
      <c r="M455" s="43"/>
      <c r="N455" s="43"/>
      <c r="O455" s="43"/>
      <c r="P455" s="43"/>
      <c r="Q455" s="43"/>
    </row>
    <row r="456" spans="1:18" ht="14.4" x14ac:dyDescent="0.25">
      <c r="A456" s="150"/>
      <c r="B456" s="15"/>
      <c r="C456" s="34">
        <f t="shared" si="414"/>
        <v>7.72</v>
      </c>
      <c r="D456" s="131">
        <v>1.93</v>
      </c>
      <c r="E456" s="17">
        <v>4</v>
      </c>
      <c r="F456" s="33">
        <v>1</v>
      </c>
      <c r="G456" s="45"/>
      <c r="H456" s="65">
        <f t="shared" ref="H456" si="417">C456</f>
        <v>7.72</v>
      </c>
      <c r="I456" s="42">
        <f t="shared" ref="I456" si="418">H456-J456</f>
        <v>7.72</v>
      </c>
      <c r="J456" s="43"/>
      <c r="K456" s="43"/>
      <c r="L456" s="43">
        <f t="shared" ref="L456" si="419">I456</f>
        <v>7.72</v>
      </c>
      <c r="M456" s="43"/>
      <c r="N456" s="43"/>
      <c r="O456" s="43"/>
      <c r="P456" s="43"/>
      <c r="Q456" s="43"/>
    </row>
    <row r="457" spans="1:18" ht="14.4" x14ac:dyDescent="0.25">
      <c r="A457" s="219">
        <v>23.89</v>
      </c>
      <c r="B457" s="220" t="s">
        <v>168</v>
      </c>
      <c r="C457" s="34">
        <f t="shared" si="414"/>
        <v>30.599000000000011</v>
      </c>
      <c r="D457" s="131">
        <f>25.87-5.5</f>
        <v>20.37</v>
      </c>
      <c r="E457" s="17">
        <v>2.7</v>
      </c>
      <c r="F457" s="33">
        <v>1</v>
      </c>
      <c r="G457" s="45">
        <v>24.4</v>
      </c>
      <c r="H457" s="65"/>
      <c r="I457" s="42"/>
      <c r="J457" s="43"/>
      <c r="K457" s="43"/>
      <c r="L457" s="43">
        <f>C457</f>
        <v>30.599000000000011</v>
      </c>
      <c r="M457" s="43"/>
      <c r="N457" s="43"/>
      <c r="O457" s="43"/>
      <c r="P457" s="43"/>
      <c r="Q457" s="43"/>
    </row>
    <row r="458" spans="1:18" ht="14.4" x14ac:dyDescent="0.25">
      <c r="A458" s="150"/>
      <c r="B458" s="157"/>
      <c r="C458" s="34">
        <f t="shared" si="414"/>
        <v>14.850000000000001</v>
      </c>
      <c r="D458" s="131">
        <v>5.5</v>
      </c>
      <c r="E458" s="17">
        <v>2.7</v>
      </c>
      <c r="F458" s="33">
        <v>1</v>
      </c>
      <c r="G458" s="45"/>
      <c r="H458" s="65">
        <f t="shared" ref="H458" si="420">C458</f>
        <v>14.850000000000001</v>
      </c>
      <c r="I458" s="42">
        <f t="shared" ref="I458" si="421">H458-J458</f>
        <v>14.850000000000001</v>
      </c>
      <c r="J458" s="43"/>
      <c r="K458" s="43"/>
      <c r="L458" s="43">
        <f t="shared" ref="L458" si="422">I458</f>
        <v>14.850000000000001</v>
      </c>
      <c r="M458" s="43"/>
      <c r="N458" s="43"/>
      <c r="O458" s="43"/>
      <c r="P458" s="43"/>
      <c r="Q458" s="43"/>
    </row>
    <row r="459" spans="1:18" ht="14.4" x14ac:dyDescent="0.25">
      <c r="A459" s="150">
        <v>3.03</v>
      </c>
      <c r="B459" s="15" t="s">
        <v>229</v>
      </c>
      <c r="C459" s="34">
        <f t="shared" si="414"/>
        <v>7.09</v>
      </c>
      <c r="D459" s="131">
        <f>8.51-3</f>
        <v>5.51</v>
      </c>
      <c r="E459" s="17">
        <v>4</v>
      </c>
      <c r="F459" s="33">
        <v>1</v>
      </c>
      <c r="G459" s="45">
        <v>14.95</v>
      </c>
      <c r="H459" s="65"/>
      <c r="I459" s="42"/>
      <c r="J459" s="43"/>
      <c r="K459" s="43"/>
      <c r="L459" s="43">
        <f>C459</f>
        <v>7.09</v>
      </c>
      <c r="M459" s="43"/>
      <c r="N459" s="43"/>
      <c r="O459" s="43"/>
      <c r="P459" s="43"/>
      <c r="Q459" s="43"/>
    </row>
    <row r="460" spans="1:18" ht="14.4" x14ac:dyDescent="0.25">
      <c r="A460" s="150"/>
      <c r="B460" s="15"/>
      <c r="C460" s="34">
        <f t="shared" si="414"/>
        <v>12</v>
      </c>
      <c r="D460" s="131">
        <v>3</v>
      </c>
      <c r="E460" s="17">
        <v>4</v>
      </c>
      <c r="F460" s="33">
        <v>1</v>
      </c>
      <c r="G460" s="45"/>
      <c r="H460" s="65">
        <f t="shared" ref="H460" si="423">C460</f>
        <v>12</v>
      </c>
      <c r="I460" s="42">
        <f t="shared" ref="I460" si="424">H460-J460</f>
        <v>12</v>
      </c>
      <c r="J460" s="43"/>
      <c r="K460" s="43"/>
      <c r="L460" s="43">
        <f t="shared" ref="L460" si="425">I460</f>
        <v>12</v>
      </c>
      <c r="M460" s="43"/>
      <c r="N460" s="43"/>
      <c r="O460" s="43"/>
      <c r="P460" s="43"/>
      <c r="Q460" s="43"/>
    </row>
    <row r="461" spans="1:18" ht="14.4" x14ac:dyDescent="0.25">
      <c r="A461" s="150">
        <v>1.1000000000000001</v>
      </c>
      <c r="B461" s="15" t="s">
        <v>229</v>
      </c>
      <c r="C461" s="34">
        <f t="shared" si="414"/>
        <v>7.3200000000000038</v>
      </c>
      <c r="D461" s="131">
        <f>7.44-3.4</f>
        <v>4.0400000000000009</v>
      </c>
      <c r="E461" s="17">
        <v>4</v>
      </c>
      <c r="F461" s="33">
        <v>1</v>
      </c>
      <c r="G461" s="45">
        <v>8.84</v>
      </c>
      <c r="H461" s="65"/>
      <c r="I461" s="42"/>
      <c r="J461" s="43"/>
      <c r="K461" s="43"/>
      <c r="L461" s="43">
        <f>C461</f>
        <v>7.3200000000000038</v>
      </c>
      <c r="M461" s="43"/>
      <c r="N461" s="43"/>
      <c r="O461" s="43"/>
      <c r="P461" s="43"/>
      <c r="Q461" s="43"/>
    </row>
    <row r="462" spans="1:18" ht="14.4" x14ac:dyDescent="0.25">
      <c r="A462" s="150"/>
      <c r="B462" s="15"/>
      <c r="C462" s="34">
        <f t="shared" si="414"/>
        <v>13.6</v>
      </c>
      <c r="D462" s="131">
        <v>3.4</v>
      </c>
      <c r="E462" s="17">
        <v>4</v>
      </c>
      <c r="F462" s="33">
        <v>1</v>
      </c>
      <c r="G462" s="45"/>
      <c r="H462" s="65">
        <f t="shared" ref="H462" si="426">C462</f>
        <v>13.6</v>
      </c>
      <c r="I462" s="42">
        <f t="shared" ref="I462" si="427">H462-J462</f>
        <v>13.6</v>
      </c>
      <c r="J462" s="43"/>
      <c r="K462" s="43"/>
      <c r="L462" s="43">
        <f t="shared" ref="L462" si="428">I462</f>
        <v>13.6</v>
      </c>
      <c r="M462" s="43"/>
      <c r="N462" s="43"/>
      <c r="O462" s="43"/>
      <c r="P462" s="43"/>
      <c r="Q462" s="43"/>
    </row>
    <row r="463" spans="1:18" ht="14.4" x14ac:dyDescent="0.25">
      <c r="A463" s="150">
        <v>6.8</v>
      </c>
      <c r="B463" s="15" t="s">
        <v>258</v>
      </c>
      <c r="C463" s="34">
        <f t="shared" si="414"/>
        <v>22.413</v>
      </c>
      <c r="D463" s="131">
        <v>10.79</v>
      </c>
      <c r="E463" s="17">
        <v>2.7</v>
      </c>
      <c r="F463" s="33">
        <v>1</v>
      </c>
      <c r="G463" s="45">
        <v>6.72</v>
      </c>
      <c r="H463" s="65"/>
      <c r="I463" s="42"/>
      <c r="J463" s="43"/>
      <c r="K463" s="43"/>
      <c r="L463" s="43">
        <f>C463</f>
        <v>22.413</v>
      </c>
      <c r="M463" s="43"/>
      <c r="N463" s="43"/>
      <c r="O463" s="43"/>
      <c r="P463" s="43"/>
      <c r="Q463" s="43"/>
    </row>
    <row r="464" spans="1:18" ht="14.4" x14ac:dyDescent="0.25">
      <c r="A464" s="150">
        <v>5.08</v>
      </c>
      <c r="B464" s="15" t="s">
        <v>270</v>
      </c>
      <c r="C464" s="34">
        <f t="shared" si="414"/>
        <v>3.349000000000002</v>
      </c>
      <c r="D464" s="131">
        <f>10.32-6.55</f>
        <v>3.7700000000000005</v>
      </c>
      <c r="E464" s="17">
        <v>2.7</v>
      </c>
      <c r="F464" s="33">
        <v>1</v>
      </c>
      <c r="G464" s="45">
        <v>6.83</v>
      </c>
      <c r="H464" s="65"/>
      <c r="I464" s="42"/>
      <c r="J464" s="43"/>
      <c r="K464" s="43"/>
      <c r="L464" s="43">
        <f>C464</f>
        <v>3.349000000000002</v>
      </c>
      <c r="M464" s="43"/>
      <c r="N464" s="43"/>
      <c r="O464" s="43"/>
      <c r="P464" s="43"/>
      <c r="Q464" s="43"/>
    </row>
    <row r="465" spans="1:17" ht="14.4" x14ac:dyDescent="0.25">
      <c r="A465" s="150"/>
      <c r="B465" s="15"/>
      <c r="C465" s="34">
        <f t="shared" si="414"/>
        <v>17.685000000000002</v>
      </c>
      <c r="D465" s="131">
        <v>6.55</v>
      </c>
      <c r="E465" s="17">
        <v>2.7</v>
      </c>
      <c r="F465" s="33">
        <v>1</v>
      </c>
      <c r="G465" s="45"/>
      <c r="H465" s="65">
        <f t="shared" ref="H465" si="429">C465</f>
        <v>17.685000000000002</v>
      </c>
      <c r="I465" s="42">
        <f t="shared" ref="I465" si="430">H465-J465</f>
        <v>17.685000000000002</v>
      </c>
      <c r="J465" s="43"/>
      <c r="K465" s="43"/>
      <c r="L465" s="43">
        <f t="shared" ref="L465" si="431">I465</f>
        <v>17.685000000000002</v>
      </c>
      <c r="M465" s="43"/>
      <c r="N465" s="43"/>
      <c r="O465" s="43"/>
      <c r="P465" s="43"/>
      <c r="Q465" s="43"/>
    </row>
    <row r="466" spans="1:17" ht="14.4" x14ac:dyDescent="0.25">
      <c r="A466" s="150">
        <v>3.4</v>
      </c>
      <c r="B466" s="15" t="s">
        <v>247</v>
      </c>
      <c r="C466" s="34">
        <f t="shared" si="414"/>
        <v>1.4939999999999998</v>
      </c>
      <c r="D466" s="131">
        <f>7.75-(2.53+2.7)</f>
        <v>2.5199999999999996</v>
      </c>
      <c r="E466" s="17">
        <v>2.7</v>
      </c>
      <c r="F466" s="33">
        <v>1</v>
      </c>
      <c r="G466" s="45">
        <v>5.31</v>
      </c>
      <c r="H466" s="65"/>
      <c r="I466" s="42"/>
      <c r="J466" s="43"/>
      <c r="K466" s="43"/>
      <c r="L466" s="43">
        <f>C466</f>
        <v>1.4939999999999998</v>
      </c>
      <c r="M466" s="43"/>
      <c r="N466" s="43"/>
      <c r="O466" s="43"/>
      <c r="P466" s="43"/>
      <c r="Q466" s="43"/>
    </row>
    <row r="467" spans="1:17" ht="14.4" x14ac:dyDescent="0.25">
      <c r="A467" s="150"/>
      <c r="B467" s="15"/>
      <c r="C467" s="34">
        <f t="shared" si="414"/>
        <v>7.2900000000000009</v>
      </c>
      <c r="D467" s="131">
        <v>2.7</v>
      </c>
      <c r="E467" s="17">
        <v>2.7</v>
      </c>
      <c r="F467" s="33">
        <v>1</v>
      </c>
      <c r="G467" s="45"/>
      <c r="H467" s="65">
        <f t="shared" ref="H467" si="432">C467</f>
        <v>7.2900000000000009</v>
      </c>
      <c r="I467" s="42">
        <f t="shared" ref="I467" si="433">H467-J467</f>
        <v>7.2900000000000009</v>
      </c>
      <c r="J467" s="43"/>
      <c r="K467" s="43"/>
      <c r="L467" s="43">
        <f t="shared" ref="L467" si="434">I467</f>
        <v>7.2900000000000009</v>
      </c>
      <c r="M467" s="43"/>
      <c r="N467" s="43"/>
      <c r="O467" s="43"/>
      <c r="P467" s="43"/>
      <c r="Q467" s="43"/>
    </row>
    <row r="468" spans="1:17" ht="14.4" x14ac:dyDescent="0.25">
      <c r="A468" s="150">
        <v>3.69</v>
      </c>
      <c r="B468" s="15" t="s">
        <v>213</v>
      </c>
      <c r="C468" s="34">
        <f t="shared" si="414"/>
        <v>18.8887</v>
      </c>
      <c r="D468" s="131">
        <f>8.27-1.3</f>
        <v>6.97</v>
      </c>
      <c r="E468" s="17">
        <v>2.71</v>
      </c>
      <c r="F468" s="33">
        <v>1</v>
      </c>
      <c r="G468" s="45"/>
      <c r="H468" s="65"/>
      <c r="I468" s="42"/>
      <c r="J468" s="43"/>
      <c r="K468" s="43"/>
      <c r="L468" s="43"/>
      <c r="M468" s="43"/>
      <c r="N468" s="43"/>
      <c r="O468" s="43"/>
      <c r="P468" s="43">
        <f>C468</f>
        <v>18.8887</v>
      </c>
      <c r="Q468" s="43"/>
    </row>
    <row r="469" spans="1:17" ht="14.4" x14ac:dyDescent="0.25">
      <c r="A469" s="150"/>
      <c r="B469" s="15"/>
      <c r="C469" s="34">
        <f t="shared" si="414"/>
        <v>3.5230000000000001</v>
      </c>
      <c r="D469" s="131">
        <v>1.3</v>
      </c>
      <c r="E469" s="17">
        <v>2.71</v>
      </c>
      <c r="F469" s="33">
        <v>1</v>
      </c>
      <c r="G469" s="45"/>
      <c r="H469" s="65">
        <f t="shared" ref="H469" si="435">C469</f>
        <v>3.5230000000000001</v>
      </c>
      <c r="I469" s="42"/>
      <c r="J469" s="43">
        <f t="shared" ref="J469" si="436">H469-I469</f>
        <v>3.5230000000000001</v>
      </c>
      <c r="K469" s="43"/>
      <c r="L469" s="43"/>
      <c r="M469" s="43"/>
      <c r="N469" s="43"/>
      <c r="O469" s="43"/>
      <c r="P469" s="43">
        <f>J469</f>
        <v>3.5230000000000001</v>
      </c>
      <c r="Q469" s="43"/>
    </row>
    <row r="470" spans="1:17" ht="14.4" x14ac:dyDescent="0.25">
      <c r="A470" s="150">
        <v>10.56</v>
      </c>
      <c r="B470" s="15" t="s">
        <v>271</v>
      </c>
      <c r="C470" s="34">
        <f t="shared" si="414"/>
        <v>30.402000000000001</v>
      </c>
      <c r="D470" s="131">
        <f>15.34-4.08</f>
        <v>11.26</v>
      </c>
      <c r="E470" s="17">
        <v>2.7</v>
      </c>
      <c r="F470" s="33">
        <v>1</v>
      </c>
      <c r="G470" s="45"/>
      <c r="H470" s="65"/>
      <c r="I470" s="42"/>
      <c r="J470" s="43"/>
      <c r="K470" s="43"/>
      <c r="L470" s="43">
        <f>C470</f>
        <v>30.402000000000001</v>
      </c>
      <c r="M470" s="43"/>
      <c r="N470" s="43"/>
      <c r="O470" s="43"/>
      <c r="P470" s="43"/>
      <c r="Q470" s="43"/>
    </row>
    <row r="471" spans="1:17" ht="14.4" x14ac:dyDescent="0.25">
      <c r="A471" s="150"/>
      <c r="B471" s="15"/>
      <c r="C471" s="34">
        <f t="shared" si="414"/>
        <v>11.016000000000002</v>
      </c>
      <c r="D471" s="131">
        <v>4.08</v>
      </c>
      <c r="E471" s="17">
        <v>2.7</v>
      </c>
      <c r="F471" s="33">
        <v>1</v>
      </c>
      <c r="G471" s="45"/>
      <c r="H471" s="65">
        <f t="shared" ref="H471" si="437">C471</f>
        <v>11.016000000000002</v>
      </c>
      <c r="I471" s="42">
        <f t="shared" ref="I471" si="438">H471-J471</f>
        <v>11.016000000000002</v>
      </c>
      <c r="J471" s="43"/>
      <c r="K471" s="43"/>
      <c r="L471" s="43">
        <f t="shared" ref="L471" si="439">I471</f>
        <v>11.016000000000002</v>
      </c>
      <c r="M471" s="43"/>
      <c r="N471" s="43"/>
      <c r="O471" s="43"/>
      <c r="P471" s="43"/>
      <c r="Q471" s="43"/>
    </row>
    <row r="472" spans="1:17" ht="14.4" x14ac:dyDescent="0.25">
      <c r="A472" s="150">
        <v>13.8</v>
      </c>
      <c r="B472" s="15" t="s">
        <v>272</v>
      </c>
      <c r="C472" s="34">
        <f t="shared" si="414"/>
        <v>28.188000000000006</v>
      </c>
      <c r="D472" s="131">
        <f>15.46-5.02</f>
        <v>10.440000000000001</v>
      </c>
      <c r="E472" s="17">
        <v>2.7</v>
      </c>
      <c r="F472" s="33">
        <v>1</v>
      </c>
      <c r="G472" s="45"/>
      <c r="H472" s="65"/>
      <c r="I472" s="42"/>
      <c r="J472" s="43"/>
      <c r="K472" s="43"/>
      <c r="L472" s="43">
        <f>C472</f>
        <v>28.188000000000006</v>
      </c>
      <c r="M472" s="43"/>
      <c r="N472" s="43"/>
      <c r="O472" s="43"/>
      <c r="P472" s="43"/>
      <c r="Q472" s="43"/>
    </row>
    <row r="473" spans="1:17" ht="14.4" x14ac:dyDescent="0.25">
      <c r="A473" s="150"/>
      <c r="B473" s="15"/>
      <c r="C473" s="34">
        <f t="shared" si="414"/>
        <v>13.554</v>
      </c>
      <c r="D473" s="131">
        <v>5.0199999999999996</v>
      </c>
      <c r="E473" s="17">
        <v>2.7</v>
      </c>
      <c r="F473" s="33">
        <v>1</v>
      </c>
      <c r="G473" s="45"/>
      <c r="H473" s="65">
        <f t="shared" ref="H473" si="440">C473</f>
        <v>13.554</v>
      </c>
      <c r="I473" s="42">
        <f t="shared" ref="I473" si="441">H473-J473</f>
        <v>13.554</v>
      </c>
      <c r="J473" s="43"/>
      <c r="K473" s="43"/>
      <c r="L473" s="43">
        <f t="shared" ref="L473" si="442">I473</f>
        <v>13.554</v>
      </c>
      <c r="M473" s="43"/>
      <c r="N473" s="43"/>
      <c r="O473" s="43"/>
      <c r="P473" s="43"/>
      <c r="Q473" s="43"/>
    </row>
    <row r="474" spans="1:17" ht="14.4" x14ac:dyDescent="0.25">
      <c r="A474" s="150">
        <v>3.68</v>
      </c>
      <c r="B474" s="15" t="s">
        <v>273</v>
      </c>
      <c r="C474" s="34">
        <f t="shared" si="414"/>
        <v>18.576000000000001</v>
      </c>
      <c r="D474" s="131">
        <f>8.33-1.45</f>
        <v>6.88</v>
      </c>
      <c r="E474" s="17">
        <v>2.7</v>
      </c>
      <c r="F474" s="33">
        <v>1</v>
      </c>
      <c r="G474" s="45"/>
      <c r="H474" s="65"/>
      <c r="I474" s="42"/>
      <c r="J474" s="43"/>
      <c r="K474" s="43"/>
      <c r="L474" s="43">
        <f>C474</f>
        <v>18.576000000000001</v>
      </c>
      <c r="M474" s="43"/>
      <c r="N474" s="43"/>
      <c r="O474" s="43"/>
      <c r="P474" s="43"/>
      <c r="Q474" s="43"/>
    </row>
    <row r="475" spans="1:17" ht="14.4" x14ac:dyDescent="0.25">
      <c r="A475" s="150"/>
      <c r="B475" s="15"/>
      <c r="C475" s="34">
        <f t="shared" si="414"/>
        <v>3.915</v>
      </c>
      <c r="D475" s="131">
        <v>1.45</v>
      </c>
      <c r="E475" s="17">
        <v>2.7</v>
      </c>
      <c r="F475" s="33">
        <v>1</v>
      </c>
      <c r="G475" s="45"/>
      <c r="H475" s="65">
        <f t="shared" ref="H475" si="443">C475</f>
        <v>3.915</v>
      </c>
      <c r="I475" s="42">
        <f t="shared" ref="I475" si="444">H475-J475</f>
        <v>3.915</v>
      </c>
      <c r="J475" s="43"/>
      <c r="K475" s="43"/>
      <c r="L475" s="43">
        <f t="shared" ref="L475" si="445">I475</f>
        <v>3.915</v>
      </c>
      <c r="M475" s="43"/>
      <c r="N475" s="43"/>
      <c r="O475" s="43"/>
      <c r="P475" s="43"/>
      <c r="Q475" s="43"/>
    </row>
    <row r="476" spans="1:17" ht="14.4" x14ac:dyDescent="0.25">
      <c r="A476" s="219">
        <v>16</v>
      </c>
      <c r="B476" s="220" t="s">
        <v>168</v>
      </c>
      <c r="C476" s="34">
        <f t="shared" si="414"/>
        <v>44.025000000000006</v>
      </c>
      <c r="D476" s="131">
        <f>20.1-2.55</f>
        <v>17.55</v>
      </c>
      <c r="E476" s="17">
        <v>2.7</v>
      </c>
      <c r="F476" s="33">
        <v>1</v>
      </c>
      <c r="G476" s="45">
        <v>3.36</v>
      </c>
      <c r="H476" s="65"/>
      <c r="I476" s="42"/>
      <c r="J476" s="43"/>
      <c r="K476" s="43"/>
      <c r="L476" s="43">
        <f>C476</f>
        <v>44.025000000000006</v>
      </c>
      <c r="M476" s="43"/>
      <c r="N476" s="43"/>
      <c r="O476" s="43"/>
      <c r="P476" s="43"/>
      <c r="Q476" s="43"/>
    </row>
    <row r="477" spans="1:17" ht="14.4" x14ac:dyDescent="0.25">
      <c r="A477" s="150">
        <v>12.04</v>
      </c>
      <c r="B477" s="15" t="s">
        <v>245</v>
      </c>
      <c r="C477" s="34">
        <f t="shared" si="414"/>
        <v>36.747</v>
      </c>
      <c r="D477" s="131">
        <f>15.85-2.24</f>
        <v>13.61</v>
      </c>
      <c r="E477" s="17">
        <v>2.7</v>
      </c>
      <c r="F477" s="33">
        <v>1</v>
      </c>
      <c r="G477" s="45"/>
      <c r="H477" s="65"/>
      <c r="I477" s="42"/>
      <c r="J477" s="43"/>
      <c r="K477" s="43"/>
      <c r="L477" s="43">
        <f>C477</f>
        <v>36.747</v>
      </c>
      <c r="M477" s="43"/>
      <c r="N477" s="43"/>
      <c r="O477" s="43"/>
      <c r="P477" s="43"/>
      <c r="Q477" s="43"/>
    </row>
    <row r="478" spans="1:17" ht="14.4" x14ac:dyDescent="0.25">
      <c r="A478" s="150"/>
      <c r="B478" s="15"/>
      <c r="C478" s="34">
        <f t="shared" si="414"/>
        <v>6.0480000000000009</v>
      </c>
      <c r="D478" s="131">
        <v>2.2400000000000002</v>
      </c>
      <c r="E478" s="17">
        <v>2.7</v>
      </c>
      <c r="F478" s="33">
        <v>1</v>
      </c>
      <c r="G478" s="45"/>
      <c r="H478" s="65">
        <f t="shared" ref="H478" si="446">C478</f>
        <v>6.0480000000000009</v>
      </c>
      <c r="I478" s="42">
        <f t="shared" ref="I478" si="447">H478-J478</f>
        <v>6.0480000000000009</v>
      </c>
      <c r="J478" s="43"/>
      <c r="K478" s="43"/>
      <c r="L478" s="43">
        <f t="shared" ref="L478" si="448">I478</f>
        <v>6.0480000000000009</v>
      </c>
      <c r="M478" s="43"/>
      <c r="N478" s="43"/>
      <c r="O478" s="43"/>
      <c r="P478" s="43"/>
      <c r="Q478" s="43"/>
    </row>
    <row r="479" spans="1:17" ht="14.4" x14ac:dyDescent="0.25">
      <c r="A479" s="219">
        <v>17.22</v>
      </c>
      <c r="B479" s="220" t="s">
        <v>274</v>
      </c>
      <c r="C479" s="34">
        <f t="shared" si="414"/>
        <v>24.110999999999997</v>
      </c>
      <c r="D479" s="131">
        <f>(17.38-3.87)-4.58</f>
        <v>8.9299999999999979</v>
      </c>
      <c r="E479" s="17">
        <v>2.7</v>
      </c>
      <c r="F479" s="33">
        <v>1</v>
      </c>
      <c r="G479" s="45"/>
      <c r="H479" s="65"/>
      <c r="I479" s="42"/>
      <c r="J479" s="43"/>
      <c r="K479" s="43"/>
      <c r="L479" s="43">
        <f>C479</f>
        <v>24.110999999999997</v>
      </c>
      <c r="M479" s="43"/>
      <c r="N479" s="43"/>
      <c r="O479" s="43"/>
      <c r="P479" s="43"/>
      <c r="Q479" s="43"/>
    </row>
    <row r="480" spans="1:17" ht="14.4" x14ac:dyDescent="0.25">
      <c r="A480" s="150"/>
      <c r="B480" s="157"/>
      <c r="C480" s="34">
        <f t="shared" si="414"/>
        <v>10.449000000000002</v>
      </c>
      <c r="D480" s="131">
        <v>3.87</v>
      </c>
      <c r="E480" s="17">
        <v>2.7</v>
      </c>
      <c r="F480" s="33">
        <v>1</v>
      </c>
      <c r="G480" s="45"/>
      <c r="H480" s="65">
        <f t="shared" ref="H480:H540" si="449">C480</f>
        <v>10.449000000000002</v>
      </c>
      <c r="I480" s="42">
        <f t="shared" ref="I480:I531" si="450">H480-J480</f>
        <v>10.449000000000002</v>
      </c>
      <c r="J480" s="43"/>
      <c r="K480" s="43"/>
      <c r="L480" s="43">
        <f t="shared" ref="L480:L531" si="451">I480</f>
        <v>10.449000000000002</v>
      </c>
      <c r="M480" s="43"/>
      <c r="N480" s="43"/>
      <c r="O480" s="43"/>
      <c r="P480" s="43"/>
      <c r="Q480" s="43"/>
    </row>
    <row r="481" spans="1:17" ht="14.4" x14ac:dyDescent="0.25">
      <c r="A481" s="150"/>
      <c r="B481" s="157"/>
      <c r="C481" s="34">
        <f t="shared" si="414"/>
        <v>12.366000000000001</v>
      </c>
      <c r="D481" s="131">
        <v>4.58</v>
      </c>
      <c r="E481" s="17">
        <v>2.7</v>
      </c>
      <c r="F481" s="33">
        <v>1</v>
      </c>
      <c r="G481" s="45"/>
      <c r="H481" s="65"/>
      <c r="I481" s="42"/>
      <c r="J481" s="43"/>
      <c r="K481" s="43">
        <f>C481</f>
        <v>12.366000000000001</v>
      </c>
      <c r="L481" s="43"/>
      <c r="M481" s="43"/>
      <c r="N481" s="43"/>
      <c r="O481" s="43"/>
      <c r="P481" s="43"/>
      <c r="Q481" s="43"/>
    </row>
    <row r="482" spans="1:17" ht="14.4" x14ac:dyDescent="0.25">
      <c r="A482" s="150">
        <v>17.22</v>
      </c>
      <c r="B482" s="15" t="s">
        <v>275</v>
      </c>
      <c r="C482" s="34">
        <f t="shared" si="414"/>
        <v>13.77</v>
      </c>
      <c r="D482" s="131">
        <f>(17.38-7.7)-4.58</f>
        <v>5.0999999999999996</v>
      </c>
      <c r="E482" s="17">
        <v>2.7</v>
      </c>
      <c r="F482" s="33">
        <v>1</v>
      </c>
      <c r="G482" s="45"/>
      <c r="H482" s="65"/>
      <c r="I482" s="42"/>
      <c r="J482" s="43"/>
      <c r="K482" s="43"/>
      <c r="L482" s="43">
        <f>C482</f>
        <v>13.77</v>
      </c>
      <c r="M482" s="43"/>
      <c r="N482" s="43"/>
      <c r="O482" s="43"/>
      <c r="P482" s="43"/>
      <c r="Q482" s="43"/>
    </row>
    <row r="483" spans="1:17" ht="14.4" x14ac:dyDescent="0.25">
      <c r="A483" s="150"/>
      <c r="B483" s="15"/>
      <c r="C483" s="34">
        <f t="shared" si="414"/>
        <v>10.395000000000001</v>
      </c>
      <c r="D483" s="131">
        <v>3.85</v>
      </c>
      <c r="E483" s="17">
        <v>2.7</v>
      </c>
      <c r="F483" s="33">
        <v>1</v>
      </c>
      <c r="G483" s="45"/>
      <c r="H483" s="65">
        <f t="shared" si="449"/>
        <v>10.395000000000001</v>
      </c>
      <c r="I483" s="42">
        <f t="shared" si="450"/>
        <v>10.395000000000001</v>
      </c>
      <c r="J483" s="43"/>
      <c r="K483" s="43"/>
      <c r="L483" s="43">
        <f t="shared" si="451"/>
        <v>10.395000000000001</v>
      </c>
      <c r="M483" s="43"/>
      <c r="N483" s="43"/>
      <c r="O483" s="43"/>
      <c r="P483" s="43"/>
      <c r="Q483" s="43"/>
    </row>
    <row r="484" spans="1:17" ht="14.4" x14ac:dyDescent="0.25">
      <c r="A484" s="150"/>
      <c r="B484" s="15"/>
      <c r="C484" s="34">
        <f t="shared" si="414"/>
        <v>12.366000000000001</v>
      </c>
      <c r="D484" s="131">
        <v>4.58</v>
      </c>
      <c r="E484" s="17">
        <v>2.7</v>
      </c>
      <c r="F484" s="33">
        <v>1</v>
      </c>
      <c r="G484" s="45"/>
      <c r="H484" s="65"/>
      <c r="I484" s="42"/>
      <c r="J484" s="43"/>
      <c r="K484" s="43">
        <f>C484</f>
        <v>12.366000000000001</v>
      </c>
      <c r="L484" s="43"/>
      <c r="M484" s="43"/>
      <c r="N484" s="43"/>
      <c r="O484" s="43"/>
      <c r="P484" s="43"/>
      <c r="Q484" s="43"/>
    </row>
    <row r="485" spans="1:17" ht="14.4" x14ac:dyDescent="0.25">
      <c r="A485" s="150">
        <v>20.72</v>
      </c>
      <c r="B485" s="15" t="s">
        <v>276</v>
      </c>
      <c r="C485" s="34">
        <f t="shared" si="414"/>
        <v>27.54</v>
      </c>
      <c r="D485" s="131">
        <f>(21.59-7.24)-4.15</f>
        <v>10.199999999999999</v>
      </c>
      <c r="E485" s="17">
        <v>2.7</v>
      </c>
      <c r="F485" s="33">
        <v>1</v>
      </c>
      <c r="G485" s="45"/>
      <c r="H485" s="65"/>
      <c r="I485" s="42"/>
      <c r="J485" s="43"/>
      <c r="K485" s="43"/>
      <c r="L485" s="43">
        <f>C485</f>
        <v>27.54</v>
      </c>
      <c r="M485" s="43"/>
      <c r="N485" s="43"/>
      <c r="O485" s="43"/>
      <c r="P485" s="43"/>
      <c r="Q485" s="43"/>
    </row>
    <row r="486" spans="1:17" ht="14.4" x14ac:dyDescent="0.25">
      <c r="A486" s="150"/>
      <c r="B486" s="15"/>
      <c r="C486" s="34">
        <f t="shared" si="414"/>
        <v>19.548000000000002</v>
      </c>
      <c r="D486" s="131">
        <v>7.24</v>
      </c>
      <c r="E486" s="17">
        <v>2.7</v>
      </c>
      <c r="F486" s="33">
        <v>1</v>
      </c>
      <c r="G486" s="45"/>
      <c r="H486" s="65">
        <f t="shared" ref="H486" si="452">C486</f>
        <v>19.548000000000002</v>
      </c>
      <c r="I486" s="42">
        <f t="shared" ref="I486" si="453">H486-J486</f>
        <v>19.548000000000002</v>
      </c>
      <c r="J486" s="43"/>
      <c r="K486" s="43"/>
      <c r="L486" s="43">
        <f t="shared" ref="L486" si="454">I486</f>
        <v>19.548000000000002</v>
      </c>
      <c r="M486" s="43"/>
      <c r="N486" s="43"/>
      <c r="O486" s="43"/>
      <c r="P486" s="43"/>
      <c r="Q486" s="43"/>
    </row>
    <row r="487" spans="1:17" ht="14.4" x14ac:dyDescent="0.25">
      <c r="A487" s="150"/>
      <c r="B487" s="15"/>
      <c r="C487" s="34">
        <f t="shared" si="414"/>
        <v>11.1915</v>
      </c>
      <c r="D487" s="131">
        <v>4.1449999999999996</v>
      </c>
      <c r="E487" s="17">
        <v>2.7</v>
      </c>
      <c r="F487" s="33">
        <v>1</v>
      </c>
      <c r="G487" s="45"/>
      <c r="H487" s="65"/>
      <c r="I487" s="42"/>
      <c r="J487" s="43"/>
      <c r="K487" s="43">
        <f>C487</f>
        <v>11.1915</v>
      </c>
      <c r="L487" s="43"/>
      <c r="M487" s="43"/>
      <c r="N487" s="43"/>
      <c r="O487" s="43"/>
      <c r="P487" s="43"/>
      <c r="Q487" s="43"/>
    </row>
    <row r="488" spans="1:17" ht="14.4" x14ac:dyDescent="0.25">
      <c r="A488" s="150">
        <v>5.85</v>
      </c>
      <c r="B488" s="15" t="s">
        <v>213</v>
      </c>
      <c r="C488" s="34">
        <f t="shared" si="414"/>
        <v>19.213899999999999</v>
      </c>
      <c r="D488" s="131">
        <f>10.49-3.4</f>
        <v>7.09</v>
      </c>
      <c r="E488" s="17">
        <v>2.71</v>
      </c>
      <c r="F488" s="33">
        <v>1</v>
      </c>
      <c r="G488" s="45"/>
      <c r="H488" s="65"/>
      <c r="I488" s="42"/>
      <c r="J488" s="43"/>
      <c r="K488" s="43"/>
      <c r="L488" s="43"/>
      <c r="M488" s="43"/>
      <c r="N488" s="43"/>
      <c r="O488" s="43"/>
      <c r="P488" s="43">
        <f>C488</f>
        <v>19.213899999999999</v>
      </c>
      <c r="Q488" s="43"/>
    </row>
    <row r="489" spans="1:17" ht="14.4" x14ac:dyDescent="0.25">
      <c r="A489" s="150"/>
      <c r="B489" s="15"/>
      <c r="C489" s="34">
        <f t="shared" si="414"/>
        <v>9.2140000000000004</v>
      </c>
      <c r="D489" s="131">
        <v>3.4</v>
      </c>
      <c r="E489" s="17">
        <v>2.71</v>
      </c>
      <c r="F489" s="33">
        <v>1</v>
      </c>
      <c r="G489" s="45"/>
      <c r="H489" s="65">
        <f t="shared" ref="H489" si="455">C489</f>
        <v>9.2140000000000004</v>
      </c>
      <c r="I489" s="42"/>
      <c r="J489" s="43">
        <f t="shared" ref="J489" si="456">H489-I489</f>
        <v>9.2140000000000004</v>
      </c>
      <c r="K489" s="43"/>
      <c r="L489" s="43"/>
      <c r="M489" s="43"/>
      <c r="N489" s="43"/>
      <c r="O489" s="43"/>
      <c r="P489" s="43">
        <f>J489</f>
        <v>9.2140000000000004</v>
      </c>
      <c r="Q489" s="43"/>
    </row>
    <row r="490" spans="1:17" ht="14.4" x14ac:dyDescent="0.25">
      <c r="A490" s="150">
        <v>3.19</v>
      </c>
      <c r="B490" s="15" t="s">
        <v>279</v>
      </c>
      <c r="C490" s="34">
        <f t="shared" si="414"/>
        <v>39.565999999999995</v>
      </c>
      <c r="D490" s="131">
        <v>7.3</v>
      </c>
      <c r="E490" s="17">
        <v>2.71</v>
      </c>
      <c r="F490" s="33">
        <v>2</v>
      </c>
      <c r="G490" s="45"/>
      <c r="H490" s="65"/>
      <c r="I490" s="42"/>
      <c r="J490" s="43"/>
      <c r="K490" s="43"/>
      <c r="L490" s="43"/>
      <c r="M490" s="43"/>
      <c r="N490" s="43"/>
      <c r="O490" s="43"/>
      <c r="P490" s="43">
        <f>C490</f>
        <v>39.565999999999995</v>
      </c>
      <c r="Q490" s="43"/>
    </row>
    <row r="491" spans="1:17" ht="14.4" x14ac:dyDescent="0.25">
      <c r="A491" s="219">
        <v>4.4000000000000004</v>
      </c>
      <c r="B491" s="220" t="s">
        <v>212</v>
      </c>
      <c r="C491" s="34">
        <f t="shared" si="414"/>
        <v>22.950000000000003</v>
      </c>
      <c r="D491" s="131">
        <v>8.5</v>
      </c>
      <c r="E491" s="17">
        <v>2.7</v>
      </c>
      <c r="F491" s="33">
        <v>1</v>
      </c>
      <c r="G491" s="45"/>
      <c r="H491" s="65"/>
      <c r="I491" s="42"/>
      <c r="J491" s="43"/>
      <c r="K491" s="43"/>
      <c r="L491" s="43">
        <f>C491</f>
        <v>22.950000000000003</v>
      </c>
      <c r="M491" s="43"/>
      <c r="N491" s="43"/>
      <c r="O491" s="43"/>
      <c r="P491" s="43"/>
      <c r="Q491" s="43"/>
    </row>
    <row r="492" spans="1:17" ht="14.4" x14ac:dyDescent="0.25">
      <c r="A492" s="150">
        <v>5.04</v>
      </c>
      <c r="B492" s="15" t="s">
        <v>212</v>
      </c>
      <c r="C492" s="34">
        <f t="shared" si="414"/>
        <v>24.84</v>
      </c>
      <c r="D492" s="131">
        <v>9.1999999999999993</v>
      </c>
      <c r="E492" s="17">
        <v>2.7</v>
      </c>
      <c r="F492" s="33">
        <v>1</v>
      </c>
      <c r="G492" s="45"/>
      <c r="H492" s="65"/>
      <c r="I492" s="42"/>
      <c r="J492" s="43"/>
      <c r="K492" s="43"/>
      <c r="L492" s="43">
        <f>C492</f>
        <v>24.84</v>
      </c>
      <c r="M492" s="43"/>
      <c r="N492" s="43"/>
      <c r="O492" s="43"/>
      <c r="P492" s="43"/>
      <c r="Q492" s="43"/>
    </row>
    <row r="493" spans="1:17" ht="14.4" x14ac:dyDescent="0.25">
      <c r="A493" s="150">
        <v>2.64</v>
      </c>
      <c r="B493" s="15" t="s">
        <v>278</v>
      </c>
      <c r="C493" s="34">
        <f t="shared" si="414"/>
        <v>36.856000000000002</v>
      </c>
      <c r="D493" s="131">
        <v>6.8</v>
      </c>
      <c r="E493" s="17">
        <v>2.71</v>
      </c>
      <c r="F493" s="33">
        <v>2</v>
      </c>
      <c r="G493" s="45"/>
      <c r="H493" s="65"/>
      <c r="I493" s="42"/>
      <c r="J493" s="43"/>
      <c r="K493" s="43"/>
      <c r="L493" s="43"/>
      <c r="M493" s="43"/>
      <c r="N493" s="43"/>
      <c r="O493" s="43"/>
      <c r="P493" s="43">
        <f>C493</f>
        <v>36.856000000000002</v>
      </c>
      <c r="Q493" s="43"/>
    </row>
    <row r="494" spans="1:17" ht="14.4" x14ac:dyDescent="0.25">
      <c r="A494" s="150">
        <v>10.3</v>
      </c>
      <c r="B494" s="15" t="s">
        <v>246</v>
      </c>
      <c r="C494" s="34">
        <f t="shared" si="414"/>
        <v>18.225000000000001</v>
      </c>
      <c r="D494" s="131">
        <f>9.1-2.35</f>
        <v>6.75</v>
      </c>
      <c r="E494" s="17">
        <v>2.7</v>
      </c>
      <c r="F494" s="33">
        <v>1</v>
      </c>
      <c r="G494" s="45"/>
      <c r="H494" s="65"/>
      <c r="I494" s="42"/>
      <c r="J494" s="43"/>
      <c r="K494" s="43"/>
      <c r="L494" s="43">
        <f>C494</f>
        <v>18.225000000000001</v>
      </c>
      <c r="M494" s="43"/>
      <c r="N494" s="43"/>
      <c r="O494" s="43"/>
      <c r="P494" s="43"/>
      <c r="Q494" s="43"/>
    </row>
    <row r="495" spans="1:17" ht="14.4" x14ac:dyDescent="0.25">
      <c r="A495" s="150"/>
      <c r="B495" s="15" t="s">
        <v>246</v>
      </c>
      <c r="C495" s="34">
        <f t="shared" si="414"/>
        <v>4.54</v>
      </c>
      <c r="D495" s="131">
        <v>4.54</v>
      </c>
      <c r="E495" s="17">
        <v>1</v>
      </c>
      <c r="F495" s="33">
        <v>1</v>
      </c>
      <c r="G495" s="45"/>
      <c r="H495" s="488">
        <f t="shared" ref="H495" si="457">C495</f>
        <v>4.54</v>
      </c>
      <c r="I495" s="42"/>
      <c r="J495" s="43">
        <f t="shared" ref="J495" si="458">H495-I495</f>
        <v>4.54</v>
      </c>
      <c r="K495" s="43"/>
      <c r="L495" s="43"/>
      <c r="M495" s="43"/>
      <c r="N495" s="43"/>
      <c r="O495" s="43"/>
      <c r="P495" s="489">
        <f>C495</f>
        <v>4.54</v>
      </c>
      <c r="Q495" s="43"/>
    </row>
    <row r="496" spans="1:17" ht="14.4" x14ac:dyDescent="0.25">
      <c r="A496" s="150">
        <v>4.8</v>
      </c>
      <c r="B496" s="15" t="s">
        <v>213</v>
      </c>
      <c r="C496" s="34">
        <f t="shared" si="414"/>
        <v>24.471299999999999</v>
      </c>
      <c r="D496" s="131">
        <v>9.0299999999999994</v>
      </c>
      <c r="E496" s="17">
        <v>2.71</v>
      </c>
      <c r="F496" s="33">
        <v>1</v>
      </c>
      <c r="G496" s="45"/>
      <c r="H496" s="65"/>
      <c r="I496" s="42"/>
      <c r="J496" s="43"/>
      <c r="K496" s="43"/>
      <c r="L496" s="43"/>
      <c r="M496" s="43"/>
      <c r="N496" s="43"/>
      <c r="O496" s="43"/>
      <c r="P496" s="43">
        <f>C496</f>
        <v>24.471299999999999</v>
      </c>
      <c r="Q496" s="43"/>
    </row>
    <row r="497" spans="1:17" ht="14.4" x14ac:dyDescent="0.25">
      <c r="A497" s="150">
        <v>5.6</v>
      </c>
      <c r="B497" s="15" t="s">
        <v>280</v>
      </c>
      <c r="C497" s="34">
        <f t="shared" si="414"/>
        <v>77.760000000000005</v>
      </c>
      <c r="D497" s="131">
        <f>9.6</f>
        <v>9.6</v>
      </c>
      <c r="E497" s="17">
        <v>2.7</v>
      </c>
      <c r="F497" s="33">
        <v>3</v>
      </c>
      <c r="G497" s="45"/>
      <c r="H497" s="65"/>
      <c r="I497" s="42"/>
      <c r="J497" s="43"/>
      <c r="K497" s="43"/>
      <c r="L497" s="43">
        <f>C497</f>
        <v>77.760000000000005</v>
      </c>
      <c r="M497" s="43"/>
      <c r="N497" s="43"/>
      <c r="O497" s="43"/>
      <c r="P497" s="43"/>
      <c r="Q497" s="43"/>
    </row>
    <row r="498" spans="1:17" ht="14.4" x14ac:dyDescent="0.25">
      <c r="A498" s="150">
        <v>4.76</v>
      </c>
      <c r="B498" s="15" t="s">
        <v>213</v>
      </c>
      <c r="C498" s="34">
        <f t="shared" si="414"/>
        <v>24.39</v>
      </c>
      <c r="D498" s="131">
        <v>9</v>
      </c>
      <c r="E498" s="17">
        <v>2.71</v>
      </c>
      <c r="F498" s="33">
        <v>1</v>
      </c>
      <c r="G498" s="45"/>
      <c r="H498" s="65"/>
      <c r="I498" s="42"/>
      <c r="J498" s="43"/>
      <c r="K498" s="43"/>
      <c r="L498" s="43"/>
      <c r="M498" s="43"/>
      <c r="N498" s="43"/>
      <c r="O498" s="43"/>
      <c r="P498" s="43">
        <f>C498</f>
        <v>24.39</v>
      </c>
      <c r="Q498" s="43"/>
    </row>
    <row r="499" spans="1:17" ht="14.4" x14ac:dyDescent="0.25">
      <c r="A499" s="150">
        <v>6.07</v>
      </c>
      <c r="B499" s="15" t="s">
        <v>213</v>
      </c>
      <c r="C499" s="34">
        <f t="shared" si="414"/>
        <v>13.387400000000001</v>
      </c>
      <c r="D499" s="131">
        <f>9.89-4.95</f>
        <v>4.9400000000000004</v>
      </c>
      <c r="E499" s="17">
        <v>2.71</v>
      </c>
      <c r="F499" s="33">
        <v>1</v>
      </c>
      <c r="G499" s="45"/>
      <c r="H499" s="65"/>
      <c r="I499" s="42"/>
      <c r="J499" s="43"/>
      <c r="K499" s="43"/>
      <c r="L499" s="43"/>
      <c r="M499" s="43"/>
      <c r="N499" s="43"/>
      <c r="O499" s="43"/>
      <c r="P499" s="43">
        <f>C499</f>
        <v>13.387400000000001</v>
      </c>
      <c r="Q499" s="43"/>
    </row>
    <row r="500" spans="1:17" ht="14.4" x14ac:dyDescent="0.25">
      <c r="A500" s="150"/>
      <c r="B500" s="15"/>
      <c r="C500" s="34">
        <f t="shared" si="414"/>
        <v>13.4145</v>
      </c>
      <c r="D500" s="131">
        <v>4.95</v>
      </c>
      <c r="E500" s="17">
        <v>2.71</v>
      </c>
      <c r="F500" s="33">
        <v>1</v>
      </c>
      <c r="G500" s="45"/>
      <c r="H500" s="65">
        <f t="shared" ref="H500" si="459">C500</f>
        <v>13.4145</v>
      </c>
      <c r="I500" s="42"/>
      <c r="J500" s="43">
        <f t="shared" ref="J500" si="460">H500-I500</f>
        <v>13.4145</v>
      </c>
      <c r="K500" s="43"/>
      <c r="L500" s="43"/>
      <c r="M500" s="43"/>
      <c r="N500" s="43"/>
      <c r="O500" s="43"/>
      <c r="P500" s="43">
        <f>J500</f>
        <v>13.4145</v>
      </c>
      <c r="Q500" s="43"/>
    </row>
    <row r="501" spans="1:17" ht="14.4" x14ac:dyDescent="0.25">
      <c r="A501" s="150">
        <v>8.5399999999999991</v>
      </c>
      <c r="B501" s="15" t="s">
        <v>281</v>
      </c>
      <c r="C501" s="34">
        <f t="shared" si="414"/>
        <v>22.465899999999998</v>
      </c>
      <c r="D501" s="131">
        <f>12.09-3.8</f>
        <v>8.2899999999999991</v>
      </c>
      <c r="E501" s="17">
        <v>2.71</v>
      </c>
      <c r="F501" s="33">
        <v>1</v>
      </c>
      <c r="G501" s="45"/>
      <c r="H501" s="65"/>
      <c r="I501" s="42"/>
      <c r="J501" s="43"/>
      <c r="K501" s="43"/>
      <c r="L501" s="43"/>
      <c r="M501" s="43"/>
      <c r="N501" s="43"/>
      <c r="O501" s="43"/>
      <c r="P501" s="43"/>
      <c r="Q501" s="43">
        <f>C501</f>
        <v>22.465899999999998</v>
      </c>
    </row>
    <row r="502" spans="1:17" ht="14.4" x14ac:dyDescent="0.25">
      <c r="A502" s="150"/>
      <c r="B502" s="15"/>
      <c r="C502" s="34">
        <f t="shared" si="414"/>
        <v>10.298</v>
      </c>
      <c r="D502" s="131">
        <v>3.8</v>
      </c>
      <c r="E502" s="17">
        <v>2.71</v>
      </c>
      <c r="F502" s="33">
        <v>1</v>
      </c>
      <c r="G502" s="45"/>
      <c r="H502" s="65">
        <f t="shared" ref="H502" si="461">C502</f>
        <v>10.298</v>
      </c>
      <c r="I502" s="42"/>
      <c r="J502" s="43">
        <f t="shared" ref="J502" si="462">H502-I502</f>
        <v>10.298</v>
      </c>
      <c r="K502" s="43"/>
      <c r="L502" s="43"/>
      <c r="M502" s="43"/>
      <c r="N502" s="43"/>
      <c r="O502" s="43"/>
      <c r="P502" s="43"/>
      <c r="Q502" s="43">
        <f>J502</f>
        <v>10.298</v>
      </c>
    </row>
    <row r="503" spans="1:17" ht="14.4" x14ac:dyDescent="0.25">
      <c r="A503" s="150">
        <v>2.81</v>
      </c>
      <c r="B503" s="15" t="s">
        <v>158</v>
      </c>
      <c r="C503" s="34">
        <f t="shared" si="414"/>
        <v>12.8725</v>
      </c>
      <c r="D503" s="131">
        <f>7.31-2.56</f>
        <v>4.75</v>
      </c>
      <c r="E503" s="17">
        <v>2.71</v>
      </c>
      <c r="F503" s="33">
        <v>1</v>
      </c>
      <c r="G503" s="45"/>
      <c r="H503" s="65"/>
      <c r="I503" s="42"/>
      <c r="J503" s="43"/>
      <c r="K503" s="43"/>
      <c r="L503" s="43"/>
      <c r="M503" s="43"/>
      <c r="N503" s="43"/>
      <c r="O503" s="43"/>
      <c r="P503" s="43"/>
      <c r="Q503" s="43">
        <f>C503</f>
        <v>12.8725</v>
      </c>
    </row>
    <row r="504" spans="1:17" ht="14.4" x14ac:dyDescent="0.25">
      <c r="A504" s="150"/>
      <c r="B504" s="15"/>
      <c r="C504" s="34">
        <f t="shared" si="414"/>
        <v>6.9375999999999998</v>
      </c>
      <c r="D504" s="131">
        <v>2.56</v>
      </c>
      <c r="E504" s="17">
        <v>2.71</v>
      </c>
      <c r="F504" s="33">
        <v>1</v>
      </c>
      <c r="G504" s="45"/>
      <c r="H504" s="65">
        <f t="shared" ref="H504" si="463">C504</f>
        <v>6.9375999999999998</v>
      </c>
      <c r="I504" s="42"/>
      <c r="J504" s="43">
        <f t="shared" ref="J504" si="464">H504-I504</f>
        <v>6.9375999999999998</v>
      </c>
      <c r="K504" s="43"/>
      <c r="L504" s="43"/>
      <c r="M504" s="43"/>
      <c r="N504" s="43"/>
      <c r="O504" s="43"/>
      <c r="P504" s="43"/>
      <c r="Q504" s="43">
        <f>J504</f>
        <v>6.9375999999999998</v>
      </c>
    </row>
    <row r="505" spans="1:17" ht="14.4" x14ac:dyDescent="0.25">
      <c r="A505" s="219">
        <v>24.82</v>
      </c>
      <c r="B505" s="220" t="s">
        <v>168</v>
      </c>
      <c r="C505" s="34">
        <f t="shared" si="414"/>
        <v>50.39500000000001</v>
      </c>
      <c r="D505" s="131">
        <f>32.2-(8.55)</f>
        <v>23.650000000000002</v>
      </c>
      <c r="E505" s="17">
        <v>2.7</v>
      </c>
      <c r="F505" s="33">
        <v>1</v>
      </c>
      <c r="G505" s="45">
        <v>13.46</v>
      </c>
      <c r="H505" s="65"/>
      <c r="I505" s="42"/>
      <c r="J505" s="43"/>
      <c r="K505" s="43"/>
      <c r="L505" s="43">
        <f>C505</f>
        <v>50.39500000000001</v>
      </c>
      <c r="M505" s="43"/>
      <c r="N505" s="43"/>
      <c r="O505" s="43"/>
      <c r="P505" s="43"/>
      <c r="Q505" s="43"/>
    </row>
    <row r="506" spans="1:17" ht="14.4" x14ac:dyDescent="0.25">
      <c r="A506" s="150"/>
      <c r="B506" s="157"/>
      <c r="C506" s="34">
        <f t="shared" si="414"/>
        <v>2.54</v>
      </c>
      <c r="D506" s="131">
        <v>2.54</v>
      </c>
      <c r="E506" s="17">
        <v>1</v>
      </c>
      <c r="F506" s="33">
        <v>1</v>
      </c>
      <c r="G506" s="45"/>
      <c r="H506" s="488">
        <f t="shared" si="449"/>
        <v>2.54</v>
      </c>
      <c r="I506" s="42"/>
      <c r="J506" s="43">
        <f t="shared" ref="J506" si="465">H506-I506</f>
        <v>2.54</v>
      </c>
      <c r="K506" s="43"/>
      <c r="L506" s="43"/>
      <c r="M506" s="43"/>
      <c r="N506" s="43"/>
      <c r="O506" s="43"/>
      <c r="P506" s="43">
        <f>J506</f>
        <v>2.54</v>
      </c>
      <c r="Q506" s="43"/>
    </row>
    <row r="507" spans="1:17" ht="14.4" x14ac:dyDescent="0.25">
      <c r="A507" s="150">
        <v>5.88</v>
      </c>
      <c r="B507" s="15" t="s">
        <v>168</v>
      </c>
      <c r="C507" s="34">
        <f t="shared" si="414"/>
        <v>21.816000000000003</v>
      </c>
      <c r="D507" s="131">
        <f>13.08-(1.2+3.8)</f>
        <v>8.08</v>
      </c>
      <c r="E507" s="17">
        <v>2.7</v>
      </c>
      <c r="F507" s="33">
        <v>1</v>
      </c>
      <c r="G507" s="45"/>
      <c r="H507" s="65"/>
      <c r="I507" s="42"/>
      <c r="J507" s="43"/>
      <c r="K507" s="43"/>
      <c r="L507" s="43">
        <f>C507</f>
        <v>21.816000000000003</v>
      </c>
      <c r="M507" s="43"/>
      <c r="N507" s="43"/>
      <c r="O507" s="43"/>
      <c r="P507" s="43"/>
      <c r="Q507" s="43"/>
    </row>
    <row r="508" spans="1:17" ht="14.4" x14ac:dyDescent="0.25">
      <c r="A508" s="150">
        <v>5.46</v>
      </c>
      <c r="B508" s="15" t="s">
        <v>282</v>
      </c>
      <c r="C508" s="34">
        <f t="shared" si="414"/>
        <v>18.495000000000001</v>
      </c>
      <c r="D508" s="131">
        <f>10.1-3.25</f>
        <v>6.85</v>
      </c>
      <c r="E508" s="17">
        <v>2.7</v>
      </c>
      <c r="F508" s="33">
        <v>1</v>
      </c>
      <c r="G508" s="45"/>
      <c r="H508" s="65"/>
      <c r="I508" s="42"/>
      <c r="J508" s="43"/>
      <c r="K508" s="43"/>
      <c r="L508" s="43">
        <f>C508</f>
        <v>18.495000000000001</v>
      </c>
      <c r="M508" s="43"/>
      <c r="N508" s="43"/>
      <c r="O508" s="43"/>
      <c r="P508" s="43"/>
      <c r="Q508" s="43"/>
    </row>
    <row r="509" spans="1:17" ht="14.4" x14ac:dyDescent="0.25">
      <c r="A509" s="150"/>
      <c r="B509" s="15"/>
      <c r="C509" s="34">
        <f t="shared" si="414"/>
        <v>8.7750000000000004</v>
      </c>
      <c r="D509" s="131">
        <v>3.25</v>
      </c>
      <c r="E509" s="17">
        <v>2.7</v>
      </c>
      <c r="F509" s="33">
        <v>1</v>
      </c>
      <c r="G509" s="45"/>
      <c r="H509" s="65">
        <f t="shared" ref="H509" si="466">C509</f>
        <v>8.7750000000000004</v>
      </c>
      <c r="I509" s="42">
        <f t="shared" ref="I509" si="467">H509-J509</f>
        <v>8.7750000000000004</v>
      </c>
      <c r="J509" s="43"/>
      <c r="K509" s="43"/>
      <c r="L509" s="43">
        <f t="shared" ref="L509" si="468">I509</f>
        <v>8.7750000000000004</v>
      </c>
      <c r="M509" s="43"/>
      <c r="N509" s="43"/>
      <c r="O509" s="43"/>
      <c r="P509" s="43"/>
      <c r="Q509" s="43"/>
    </row>
    <row r="510" spans="1:17" ht="14.4" x14ac:dyDescent="0.25">
      <c r="A510" s="150">
        <v>3.73</v>
      </c>
      <c r="B510" s="15" t="s">
        <v>282</v>
      </c>
      <c r="C510" s="34">
        <f t="shared" si="414"/>
        <v>21.546000000000003</v>
      </c>
      <c r="D510" s="131">
        <f>7.98</f>
        <v>7.98</v>
      </c>
      <c r="E510" s="17">
        <v>2.7</v>
      </c>
      <c r="F510" s="33">
        <v>1</v>
      </c>
      <c r="G510" s="45"/>
      <c r="H510" s="65"/>
      <c r="I510" s="42"/>
      <c r="J510" s="43"/>
      <c r="K510" s="43"/>
      <c r="L510" s="43">
        <f>C510</f>
        <v>21.546000000000003</v>
      </c>
      <c r="M510" s="43"/>
      <c r="N510" s="43"/>
      <c r="O510" s="43"/>
      <c r="P510" s="43"/>
      <c r="Q510" s="43"/>
    </row>
    <row r="511" spans="1:17" ht="14.4" x14ac:dyDescent="0.25">
      <c r="A511" s="150">
        <v>3.83</v>
      </c>
      <c r="B511" s="15" t="s">
        <v>213</v>
      </c>
      <c r="C511" s="34">
        <f t="shared" si="414"/>
        <v>22.980800000000002</v>
      </c>
      <c r="D511" s="131">
        <v>8.48</v>
      </c>
      <c r="E511" s="17">
        <v>2.71</v>
      </c>
      <c r="F511" s="33">
        <v>1</v>
      </c>
      <c r="G511" s="45"/>
      <c r="H511" s="65"/>
      <c r="I511" s="42"/>
      <c r="J511" s="43"/>
      <c r="K511" s="43"/>
      <c r="L511" s="43"/>
      <c r="M511" s="43"/>
      <c r="N511" s="43"/>
      <c r="O511" s="43"/>
      <c r="P511" s="43">
        <f>C511</f>
        <v>22.980800000000002</v>
      </c>
      <c r="Q511" s="43"/>
    </row>
    <row r="512" spans="1:17" ht="14.4" x14ac:dyDescent="0.25">
      <c r="A512" s="150">
        <v>5</v>
      </c>
      <c r="B512" s="15" t="s">
        <v>288</v>
      </c>
      <c r="C512" s="34">
        <f t="shared" si="414"/>
        <v>24.3</v>
      </c>
      <c r="D512" s="131">
        <f>9</f>
        <v>9</v>
      </c>
      <c r="E512" s="17">
        <v>2.7</v>
      </c>
      <c r="F512" s="33">
        <v>1</v>
      </c>
      <c r="G512" s="45"/>
      <c r="H512" s="65"/>
      <c r="I512" s="42"/>
      <c r="J512" s="43"/>
      <c r="K512" s="43"/>
      <c r="L512" s="43">
        <f>C512</f>
        <v>24.3</v>
      </c>
      <c r="M512" s="43"/>
      <c r="N512" s="43"/>
      <c r="O512" s="43"/>
      <c r="P512" s="43"/>
      <c r="Q512" s="43"/>
    </row>
    <row r="513" spans="1:17" ht="14.4" x14ac:dyDescent="0.25">
      <c r="A513" s="219">
        <v>37.79</v>
      </c>
      <c r="B513" s="220" t="s">
        <v>168</v>
      </c>
      <c r="C513" s="34">
        <f t="shared" si="414"/>
        <v>92.853000000000009</v>
      </c>
      <c r="D513" s="131">
        <f>41.2-6.81</f>
        <v>34.39</v>
      </c>
      <c r="E513" s="17">
        <v>2.7</v>
      </c>
      <c r="F513" s="33">
        <v>1</v>
      </c>
      <c r="G513" s="45"/>
      <c r="H513" s="65"/>
      <c r="I513" s="42"/>
      <c r="J513" s="43"/>
      <c r="K513" s="43"/>
      <c r="L513" s="43">
        <f>C513</f>
        <v>92.853000000000009</v>
      </c>
      <c r="M513" s="43"/>
      <c r="N513" s="43"/>
      <c r="O513" s="43"/>
      <c r="P513" s="43"/>
      <c r="Q513" s="43"/>
    </row>
    <row r="514" spans="1:17" ht="14.4" x14ac:dyDescent="0.25">
      <c r="A514" s="150"/>
      <c r="B514" s="157"/>
      <c r="C514" s="34">
        <f t="shared" si="414"/>
        <v>3.49</v>
      </c>
      <c r="D514" s="131">
        <v>3.49</v>
      </c>
      <c r="E514" s="17">
        <v>1</v>
      </c>
      <c r="F514" s="33">
        <v>1</v>
      </c>
      <c r="G514" s="45"/>
      <c r="H514" s="488">
        <f t="shared" si="449"/>
        <v>3.49</v>
      </c>
      <c r="I514" s="42"/>
      <c r="J514" s="43">
        <f t="shared" ref="J514" si="469">H514-I514</f>
        <v>3.49</v>
      </c>
      <c r="K514" s="43"/>
      <c r="L514" s="43"/>
      <c r="M514" s="43"/>
      <c r="N514" s="43"/>
      <c r="O514" s="43"/>
      <c r="P514" s="43">
        <f>J514</f>
        <v>3.49</v>
      </c>
      <c r="Q514" s="43"/>
    </row>
    <row r="515" spans="1:17" ht="25.05" customHeight="1" x14ac:dyDescent="0.25">
      <c r="A515" s="219">
        <v>43.77</v>
      </c>
      <c r="B515" s="263" t="s">
        <v>283</v>
      </c>
      <c r="C515" s="34">
        <f t="shared" si="414"/>
        <v>74.790000000000006</v>
      </c>
      <c r="D515" s="131">
        <f>34.85-(2.15+5)</f>
        <v>27.700000000000003</v>
      </c>
      <c r="E515" s="17">
        <v>2.7</v>
      </c>
      <c r="F515" s="33">
        <v>1</v>
      </c>
      <c r="G515" s="45"/>
      <c r="H515" s="65"/>
      <c r="I515" s="42"/>
      <c r="J515" s="43"/>
      <c r="K515" s="43"/>
      <c r="L515" s="43">
        <f>C515</f>
        <v>74.790000000000006</v>
      </c>
      <c r="M515" s="43"/>
      <c r="N515" s="43"/>
      <c r="O515" s="43"/>
      <c r="P515" s="43"/>
      <c r="Q515" s="43"/>
    </row>
    <row r="516" spans="1:17" ht="25.05" customHeight="1" x14ac:dyDescent="0.25">
      <c r="A516" s="150"/>
      <c r="B516" s="273"/>
      <c r="C516" s="34">
        <f t="shared" si="414"/>
        <v>13.5</v>
      </c>
      <c r="D516" s="131">
        <v>5</v>
      </c>
      <c r="E516" s="17">
        <v>2.7</v>
      </c>
      <c r="F516" s="33">
        <v>1</v>
      </c>
      <c r="G516" s="45"/>
      <c r="H516" s="65">
        <f t="shared" ref="H516" si="470">C516</f>
        <v>13.5</v>
      </c>
      <c r="I516" s="42">
        <f t="shared" ref="I516" si="471">H516-J516</f>
        <v>13.5</v>
      </c>
      <c r="J516" s="43"/>
      <c r="K516" s="43"/>
      <c r="L516" s="43">
        <f t="shared" ref="L516" si="472">I516</f>
        <v>13.5</v>
      </c>
      <c r="M516" s="43"/>
      <c r="N516" s="43"/>
      <c r="O516" s="43"/>
      <c r="P516" s="43"/>
      <c r="Q516" s="43"/>
    </row>
    <row r="517" spans="1:17" ht="14.4" x14ac:dyDescent="0.25">
      <c r="A517" s="150">
        <v>3.58</v>
      </c>
      <c r="B517" s="15" t="s">
        <v>158</v>
      </c>
      <c r="C517" s="34">
        <f t="shared" si="414"/>
        <v>22.6556</v>
      </c>
      <c r="D517" s="131">
        <v>8.36</v>
      </c>
      <c r="E517" s="17">
        <v>2.71</v>
      </c>
      <c r="F517" s="33">
        <v>1</v>
      </c>
      <c r="G517" s="45"/>
      <c r="H517" s="65"/>
      <c r="I517" s="42"/>
      <c r="J517" s="43"/>
      <c r="K517" s="43"/>
      <c r="L517" s="43"/>
      <c r="M517" s="43"/>
      <c r="N517" s="43"/>
      <c r="O517" s="43"/>
      <c r="P517" s="43"/>
      <c r="Q517" s="43">
        <f>C517</f>
        <v>22.6556</v>
      </c>
    </row>
    <row r="518" spans="1:17" ht="14.4" x14ac:dyDescent="0.25">
      <c r="A518" s="150">
        <v>4.7300000000000004</v>
      </c>
      <c r="B518" s="15" t="s">
        <v>280</v>
      </c>
      <c r="C518" s="34">
        <f t="shared" si="414"/>
        <v>48.06</v>
      </c>
      <c r="D518" s="131">
        <f>8.9</f>
        <v>8.9</v>
      </c>
      <c r="E518" s="17">
        <v>2.7</v>
      </c>
      <c r="F518" s="33">
        <v>2</v>
      </c>
      <c r="G518" s="45"/>
      <c r="H518" s="65"/>
      <c r="I518" s="42"/>
      <c r="J518" s="43"/>
      <c r="K518" s="43"/>
      <c r="L518" s="43">
        <f>C518</f>
        <v>48.06</v>
      </c>
      <c r="M518" s="43"/>
      <c r="N518" s="43"/>
      <c r="O518" s="43"/>
      <c r="P518" s="43"/>
      <c r="Q518" s="43"/>
    </row>
    <row r="519" spans="1:17" ht="14.4" x14ac:dyDescent="0.25">
      <c r="A519" s="150">
        <v>4.55</v>
      </c>
      <c r="B519" s="15" t="s">
        <v>213</v>
      </c>
      <c r="C519" s="34">
        <f t="shared" si="414"/>
        <v>47.966999999999999</v>
      </c>
      <c r="D519" s="131">
        <v>8.85</v>
      </c>
      <c r="E519" s="17">
        <v>2.71</v>
      </c>
      <c r="F519" s="33">
        <v>2</v>
      </c>
      <c r="G519" s="45"/>
      <c r="H519" s="65"/>
      <c r="I519" s="42"/>
      <c r="J519" s="43"/>
      <c r="K519" s="43"/>
      <c r="L519" s="43"/>
      <c r="M519" s="43"/>
      <c r="N519" s="43"/>
      <c r="O519" s="43"/>
      <c r="P519" s="43">
        <f>C519</f>
        <v>47.966999999999999</v>
      </c>
      <c r="Q519" s="43"/>
    </row>
    <row r="520" spans="1:17" ht="14.4" x14ac:dyDescent="0.25">
      <c r="A520" s="150">
        <v>2.66</v>
      </c>
      <c r="B520" s="15" t="s">
        <v>269</v>
      </c>
      <c r="C520" s="34">
        <f t="shared" si="414"/>
        <v>23.22</v>
      </c>
      <c r="D520" s="131">
        <f>8.6</f>
        <v>8.6</v>
      </c>
      <c r="E520" s="17">
        <v>2.7</v>
      </c>
      <c r="F520" s="33">
        <v>1</v>
      </c>
      <c r="G520" s="45"/>
      <c r="H520" s="65"/>
      <c r="I520" s="42"/>
      <c r="J520" s="43"/>
      <c r="K520" s="43"/>
      <c r="L520" s="43">
        <f>C520</f>
        <v>23.22</v>
      </c>
      <c r="M520" s="43"/>
      <c r="N520" s="43"/>
      <c r="O520" s="43"/>
      <c r="P520" s="43"/>
      <c r="Q520" s="43"/>
    </row>
    <row r="521" spans="1:17" ht="14.4" x14ac:dyDescent="0.25">
      <c r="A521" s="150">
        <v>5.6</v>
      </c>
      <c r="B521" s="15" t="s">
        <v>280</v>
      </c>
      <c r="C521" s="34">
        <f t="shared" si="414"/>
        <v>51.84</v>
      </c>
      <c r="D521" s="131">
        <f>9.6</f>
        <v>9.6</v>
      </c>
      <c r="E521" s="17">
        <v>2.7</v>
      </c>
      <c r="F521" s="33">
        <v>2</v>
      </c>
      <c r="G521" s="45"/>
      <c r="H521" s="65"/>
      <c r="I521" s="42"/>
      <c r="J521" s="43"/>
      <c r="K521" s="43"/>
      <c r="L521" s="43">
        <f>C521</f>
        <v>51.84</v>
      </c>
      <c r="M521" s="43"/>
      <c r="N521" s="43"/>
      <c r="O521" s="43"/>
      <c r="P521" s="43"/>
      <c r="Q521" s="43"/>
    </row>
    <row r="522" spans="1:17" ht="14.4" x14ac:dyDescent="0.25">
      <c r="A522" s="150">
        <v>4.76</v>
      </c>
      <c r="B522" s="15" t="s">
        <v>213</v>
      </c>
      <c r="C522" s="34">
        <f t="shared" si="414"/>
        <v>24.39</v>
      </c>
      <c r="D522" s="131">
        <v>9</v>
      </c>
      <c r="E522" s="17">
        <v>2.71</v>
      </c>
      <c r="F522" s="33">
        <v>1</v>
      </c>
      <c r="G522" s="45"/>
      <c r="H522" s="65"/>
      <c r="I522" s="42"/>
      <c r="J522" s="43"/>
      <c r="K522" s="43"/>
      <c r="L522" s="43"/>
      <c r="M522" s="43"/>
      <c r="N522" s="43"/>
      <c r="O522" s="43"/>
      <c r="P522" s="43">
        <f>C522</f>
        <v>24.39</v>
      </c>
      <c r="Q522" s="43"/>
    </row>
    <row r="523" spans="1:17" ht="14.4" x14ac:dyDescent="0.25">
      <c r="A523" s="150">
        <v>16.07</v>
      </c>
      <c r="B523" s="15" t="s">
        <v>177</v>
      </c>
      <c r="C523" s="34">
        <f t="shared" si="414"/>
        <v>32.411000000000008</v>
      </c>
      <c r="D523" s="131">
        <f>18.03-4.6</f>
        <v>13.430000000000001</v>
      </c>
      <c r="E523" s="17">
        <v>2.7</v>
      </c>
      <c r="F523" s="33">
        <v>1</v>
      </c>
      <c r="G523" s="45">
        <v>3.85</v>
      </c>
      <c r="H523" s="65"/>
      <c r="I523" s="42"/>
      <c r="J523" s="43"/>
      <c r="K523" s="43"/>
      <c r="L523" s="43"/>
      <c r="M523" s="43">
        <f>C523</f>
        <v>32.411000000000008</v>
      </c>
      <c r="N523" s="43"/>
      <c r="O523" s="43"/>
      <c r="P523" s="43"/>
      <c r="Q523" s="43"/>
    </row>
    <row r="524" spans="1:17" ht="14.4" x14ac:dyDescent="0.25">
      <c r="A524" s="150"/>
      <c r="B524" s="15"/>
      <c r="C524" s="34">
        <f t="shared" si="414"/>
        <v>12.42</v>
      </c>
      <c r="D524" s="131">
        <v>4.5999999999999996</v>
      </c>
      <c r="E524" s="17">
        <v>2.7</v>
      </c>
      <c r="F524" s="33">
        <v>1</v>
      </c>
      <c r="G524" s="45"/>
      <c r="H524" s="65">
        <f t="shared" ref="H524" si="473">C524</f>
        <v>12.42</v>
      </c>
      <c r="I524" s="42">
        <f t="shared" ref="I524" si="474">H524-J524</f>
        <v>12.42</v>
      </c>
      <c r="J524" s="43"/>
      <c r="K524" s="43"/>
      <c r="L524" s="43"/>
      <c r="M524" s="43">
        <f>I524</f>
        <v>12.42</v>
      </c>
      <c r="N524" s="43"/>
      <c r="O524" s="43"/>
      <c r="P524" s="43"/>
      <c r="Q524" s="43"/>
    </row>
    <row r="525" spans="1:17" ht="14.4" x14ac:dyDescent="0.25">
      <c r="A525" s="150">
        <v>1.6</v>
      </c>
      <c r="B525" s="15" t="s">
        <v>229</v>
      </c>
      <c r="C525" s="34">
        <f t="shared" si="414"/>
        <v>8.99</v>
      </c>
      <c r="D525" s="131">
        <f>7.42-4.21</f>
        <v>3.21</v>
      </c>
      <c r="E525" s="17">
        <v>4</v>
      </c>
      <c r="F525" s="33">
        <v>1</v>
      </c>
      <c r="G525" s="45">
        <v>3.85</v>
      </c>
      <c r="H525" s="65"/>
      <c r="I525" s="42"/>
      <c r="J525" s="43"/>
      <c r="K525" s="43"/>
      <c r="L525" s="43">
        <f>C525</f>
        <v>8.99</v>
      </c>
      <c r="M525" s="43"/>
      <c r="N525" s="43"/>
      <c r="O525" s="43"/>
      <c r="P525" s="43"/>
      <c r="Q525" s="43"/>
    </row>
    <row r="526" spans="1:17" ht="14.4" x14ac:dyDescent="0.25">
      <c r="A526" s="150"/>
      <c r="B526" s="15"/>
      <c r="C526" s="34">
        <f t="shared" si="414"/>
        <v>16.84</v>
      </c>
      <c r="D526" s="131">
        <v>4.21</v>
      </c>
      <c r="E526" s="17">
        <v>4</v>
      </c>
      <c r="F526" s="33">
        <v>1</v>
      </c>
      <c r="G526" s="45"/>
      <c r="H526" s="65">
        <f t="shared" ref="H526" si="475">C526</f>
        <v>16.84</v>
      </c>
      <c r="I526" s="42">
        <f t="shared" ref="I526" si="476">H526-J526</f>
        <v>16.84</v>
      </c>
      <c r="J526" s="43"/>
      <c r="K526" s="43"/>
      <c r="L526" s="43">
        <f t="shared" ref="L526" si="477">I526</f>
        <v>16.84</v>
      </c>
      <c r="M526" s="43"/>
      <c r="N526" s="43"/>
      <c r="O526" s="43"/>
      <c r="P526" s="43"/>
      <c r="Q526" s="43"/>
    </row>
    <row r="527" spans="1:17" ht="14.4" x14ac:dyDescent="0.25">
      <c r="A527" s="150">
        <v>33.15</v>
      </c>
      <c r="B527" s="15" t="s">
        <v>284</v>
      </c>
      <c r="C527" s="34">
        <f t="shared" si="414"/>
        <v>48.222000000000001</v>
      </c>
      <c r="D527" s="131">
        <f>(28.22-3.51)-6.85</f>
        <v>17.86</v>
      </c>
      <c r="E527" s="17">
        <v>2.7</v>
      </c>
      <c r="F527" s="33">
        <v>1</v>
      </c>
      <c r="G527" s="45"/>
      <c r="H527" s="65"/>
      <c r="I527" s="42"/>
      <c r="J527" s="43"/>
      <c r="K527" s="43"/>
      <c r="L527" s="43">
        <f>C527</f>
        <v>48.222000000000001</v>
      </c>
      <c r="M527" s="43"/>
      <c r="N527" s="43"/>
      <c r="O527" s="43"/>
      <c r="P527" s="43"/>
      <c r="Q527" s="43"/>
    </row>
    <row r="528" spans="1:17" ht="14.4" x14ac:dyDescent="0.25">
      <c r="A528" s="150"/>
      <c r="B528" s="15"/>
      <c r="C528" s="34">
        <f t="shared" si="414"/>
        <v>9.4770000000000003</v>
      </c>
      <c r="D528" s="131">
        <v>3.51</v>
      </c>
      <c r="E528" s="17">
        <v>2.7</v>
      </c>
      <c r="F528" s="33">
        <v>1</v>
      </c>
      <c r="G528" s="45"/>
      <c r="H528" s="65">
        <f t="shared" si="449"/>
        <v>9.4770000000000003</v>
      </c>
      <c r="I528" s="42">
        <f t="shared" si="450"/>
        <v>9.4770000000000003</v>
      </c>
      <c r="J528" s="43"/>
      <c r="K528" s="43"/>
      <c r="L528" s="43">
        <f t="shared" si="451"/>
        <v>9.4770000000000003</v>
      </c>
      <c r="M528" s="43"/>
      <c r="N528" s="43"/>
      <c r="O528" s="43"/>
      <c r="P528" s="43"/>
      <c r="Q528" s="43"/>
    </row>
    <row r="529" spans="1:17" ht="14.4" x14ac:dyDescent="0.25">
      <c r="A529" s="150"/>
      <c r="B529" s="15"/>
      <c r="C529" s="34">
        <f t="shared" si="414"/>
        <v>18.495000000000001</v>
      </c>
      <c r="D529" s="131">
        <v>6.85</v>
      </c>
      <c r="E529" s="17">
        <v>2.7</v>
      </c>
      <c r="F529" s="33">
        <v>1</v>
      </c>
      <c r="G529" s="45"/>
      <c r="H529" s="65"/>
      <c r="I529" s="42"/>
      <c r="J529" s="43"/>
      <c r="K529" s="43">
        <f>C529</f>
        <v>18.495000000000001</v>
      </c>
      <c r="L529" s="43"/>
      <c r="M529" s="43"/>
      <c r="N529" s="43"/>
      <c r="O529" s="43"/>
      <c r="P529" s="43"/>
      <c r="Q529" s="43"/>
    </row>
    <row r="530" spans="1:17" ht="14.4" x14ac:dyDescent="0.25">
      <c r="A530" s="150">
        <v>29.94</v>
      </c>
      <c r="B530" s="15" t="s">
        <v>285</v>
      </c>
      <c r="C530" s="34">
        <f t="shared" si="414"/>
        <v>44.144999999999996</v>
      </c>
      <c r="D530" s="131">
        <f>(27-3.53)-7.12</f>
        <v>16.349999999999998</v>
      </c>
      <c r="E530" s="17">
        <v>2.7</v>
      </c>
      <c r="F530" s="33">
        <v>1</v>
      </c>
      <c r="G530" s="45"/>
      <c r="H530" s="65"/>
      <c r="I530" s="42"/>
      <c r="J530" s="43"/>
      <c r="K530" s="43"/>
      <c r="L530" s="43">
        <f>C530</f>
        <v>44.144999999999996</v>
      </c>
      <c r="M530" s="43"/>
      <c r="N530" s="43"/>
      <c r="O530" s="43"/>
      <c r="P530" s="43"/>
      <c r="Q530" s="43"/>
    </row>
    <row r="531" spans="1:17" ht="14.4" x14ac:dyDescent="0.25">
      <c r="A531" s="150"/>
      <c r="B531" s="15"/>
      <c r="C531" s="34">
        <f t="shared" si="414"/>
        <v>9.5310000000000006</v>
      </c>
      <c r="D531" s="131">
        <v>3.53</v>
      </c>
      <c r="E531" s="17">
        <v>2.7</v>
      </c>
      <c r="F531" s="33">
        <v>1</v>
      </c>
      <c r="G531" s="45"/>
      <c r="H531" s="65">
        <f t="shared" si="449"/>
        <v>9.5310000000000006</v>
      </c>
      <c r="I531" s="42">
        <f t="shared" si="450"/>
        <v>9.5310000000000006</v>
      </c>
      <c r="J531" s="43"/>
      <c r="K531" s="43"/>
      <c r="L531" s="43">
        <f t="shared" si="451"/>
        <v>9.5310000000000006</v>
      </c>
      <c r="M531" s="43"/>
      <c r="N531" s="43"/>
      <c r="O531" s="43"/>
      <c r="P531" s="43"/>
      <c r="Q531" s="43"/>
    </row>
    <row r="532" spans="1:17" ht="14.4" x14ac:dyDescent="0.25">
      <c r="A532" s="150"/>
      <c r="B532" s="15"/>
      <c r="C532" s="34">
        <f t="shared" si="414"/>
        <v>19.224</v>
      </c>
      <c r="D532" s="131">
        <v>7.12</v>
      </c>
      <c r="E532" s="17">
        <v>2.7</v>
      </c>
      <c r="F532" s="33">
        <v>1</v>
      </c>
      <c r="G532" s="45"/>
      <c r="H532" s="65"/>
      <c r="I532" s="42"/>
      <c r="J532" s="43"/>
      <c r="K532" s="43">
        <f>C532</f>
        <v>19.224</v>
      </c>
      <c r="L532" s="43"/>
      <c r="M532" s="43"/>
      <c r="N532" s="43"/>
      <c r="O532" s="43"/>
      <c r="P532" s="43"/>
      <c r="Q532" s="43"/>
    </row>
    <row r="533" spans="1:17" ht="14.4" x14ac:dyDescent="0.25">
      <c r="A533" s="219">
        <v>25.65</v>
      </c>
      <c r="B533" s="220" t="s">
        <v>286</v>
      </c>
      <c r="C533" s="34">
        <f t="shared" si="414"/>
        <v>20.601000000000003</v>
      </c>
      <c r="D533" s="131">
        <f>(22.2-7.72)-6.85</f>
        <v>7.6300000000000008</v>
      </c>
      <c r="E533" s="17">
        <v>2.7</v>
      </c>
      <c r="F533" s="33">
        <v>1</v>
      </c>
      <c r="G533" s="45"/>
      <c r="H533" s="65"/>
      <c r="I533" s="42"/>
      <c r="J533" s="43"/>
      <c r="K533" s="43"/>
      <c r="L533" s="43">
        <f>C533</f>
        <v>20.601000000000003</v>
      </c>
      <c r="M533" s="43"/>
      <c r="N533" s="43"/>
      <c r="O533" s="43"/>
      <c r="P533" s="43"/>
      <c r="Q533" s="43"/>
    </row>
    <row r="534" spans="1:17" ht="14.4" x14ac:dyDescent="0.25">
      <c r="A534" s="150"/>
      <c r="B534" s="157"/>
      <c r="C534" s="34">
        <f t="shared" si="414"/>
        <v>20.844000000000001</v>
      </c>
      <c r="D534" s="131">
        <v>7.72</v>
      </c>
      <c r="E534" s="17">
        <v>2.7</v>
      </c>
      <c r="F534" s="33">
        <v>1</v>
      </c>
      <c r="G534" s="45"/>
      <c r="H534" s="65">
        <f t="shared" ref="H534" si="478">C534</f>
        <v>20.844000000000001</v>
      </c>
      <c r="I534" s="42">
        <f t="shared" ref="I534" si="479">H534-J534</f>
        <v>20.844000000000001</v>
      </c>
      <c r="J534" s="43"/>
      <c r="K534" s="43"/>
      <c r="L534" s="43">
        <f t="shared" ref="L534" si="480">I534</f>
        <v>20.844000000000001</v>
      </c>
      <c r="M534" s="43"/>
      <c r="N534" s="43"/>
      <c r="O534" s="43"/>
      <c r="P534" s="43"/>
      <c r="Q534" s="43"/>
    </row>
    <row r="535" spans="1:17" ht="14.4" x14ac:dyDescent="0.25">
      <c r="A535" s="150"/>
      <c r="B535" s="157"/>
      <c r="C535" s="34">
        <f t="shared" si="414"/>
        <v>18.495000000000001</v>
      </c>
      <c r="D535" s="131">
        <v>6.85</v>
      </c>
      <c r="E535" s="17">
        <v>2.7</v>
      </c>
      <c r="F535" s="33">
        <v>1</v>
      </c>
      <c r="G535" s="45"/>
      <c r="H535" s="65"/>
      <c r="I535" s="42"/>
      <c r="J535" s="43"/>
      <c r="K535" s="43">
        <f>C535</f>
        <v>18.495000000000001</v>
      </c>
      <c r="L535" s="43"/>
      <c r="M535" s="43"/>
      <c r="N535" s="43"/>
      <c r="O535" s="43"/>
      <c r="P535" s="43"/>
      <c r="Q535" s="43"/>
    </row>
    <row r="536" spans="1:17" ht="14.4" x14ac:dyDescent="0.25">
      <c r="A536" s="150">
        <v>6.15</v>
      </c>
      <c r="B536" s="15" t="s">
        <v>213</v>
      </c>
      <c r="C536" s="34">
        <f t="shared" si="414"/>
        <v>17.858899999999998</v>
      </c>
      <c r="D536" s="131">
        <f>12.29-5.7</f>
        <v>6.589999999999999</v>
      </c>
      <c r="E536" s="17">
        <v>2.71</v>
      </c>
      <c r="F536" s="33">
        <v>1</v>
      </c>
      <c r="G536" s="45"/>
      <c r="H536" s="65"/>
      <c r="I536" s="42"/>
      <c r="J536" s="43"/>
      <c r="K536" s="43"/>
      <c r="L536" s="43"/>
      <c r="M536" s="43"/>
      <c r="N536" s="43"/>
      <c r="O536" s="43"/>
      <c r="P536" s="43">
        <f>C536</f>
        <v>17.858899999999998</v>
      </c>
      <c r="Q536" s="43"/>
    </row>
    <row r="537" spans="1:17" ht="14.4" x14ac:dyDescent="0.25">
      <c r="A537" s="150"/>
      <c r="B537" s="15"/>
      <c r="C537" s="34">
        <f t="shared" si="414"/>
        <v>15.447000000000001</v>
      </c>
      <c r="D537" s="131">
        <v>5.7</v>
      </c>
      <c r="E537" s="17">
        <v>2.71</v>
      </c>
      <c r="F537" s="33">
        <v>1</v>
      </c>
      <c r="G537" s="45"/>
      <c r="H537" s="65">
        <f t="shared" ref="H537" si="481">C537</f>
        <v>15.447000000000001</v>
      </c>
      <c r="I537" s="42"/>
      <c r="J537" s="43">
        <f t="shared" ref="J537" si="482">H537-I537</f>
        <v>15.447000000000001</v>
      </c>
      <c r="K537" s="43"/>
      <c r="L537" s="43"/>
      <c r="M537" s="43"/>
      <c r="N537" s="43"/>
      <c r="O537" s="43"/>
      <c r="P537" s="43">
        <f>J537</f>
        <v>15.447000000000001</v>
      </c>
      <c r="Q537" s="43"/>
    </row>
    <row r="538" spans="1:17" ht="14.4" x14ac:dyDescent="0.25">
      <c r="A538" s="150">
        <v>4.59</v>
      </c>
      <c r="B538" s="15" t="s">
        <v>213</v>
      </c>
      <c r="C538" s="34">
        <f t="shared" si="414"/>
        <v>23.848000000000003</v>
      </c>
      <c r="D538" s="131">
        <v>8.8000000000000007</v>
      </c>
      <c r="E538" s="17">
        <v>2.71</v>
      </c>
      <c r="F538" s="33">
        <v>1</v>
      </c>
      <c r="G538" s="45"/>
      <c r="H538" s="65"/>
      <c r="I538" s="42"/>
      <c r="J538" s="43"/>
      <c r="K538" s="43"/>
      <c r="L538" s="43"/>
      <c r="M538" s="43"/>
      <c r="N538" s="43"/>
      <c r="O538" s="43"/>
      <c r="P538" s="43">
        <f>C538</f>
        <v>23.848000000000003</v>
      </c>
      <c r="Q538" s="43"/>
    </row>
    <row r="539" spans="1:17" ht="14.4" x14ac:dyDescent="0.25">
      <c r="A539" s="219">
        <v>22.43</v>
      </c>
      <c r="B539" s="220" t="s">
        <v>246</v>
      </c>
      <c r="C539" s="34">
        <f t="shared" si="414"/>
        <v>32.859000000000009</v>
      </c>
      <c r="D539" s="131">
        <f>19.78-7.61</f>
        <v>12.170000000000002</v>
      </c>
      <c r="E539" s="17">
        <v>2.7</v>
      </c>
      <c r="F539" s="33">
        <v>1</v>
      </c>
      <c r="G539" s="45"/>
      <c r="H539" s="65"/>
      <c r="I539" s="42"/>
      <c r="J539" s="43"/>
      <c r="K539" s="43"/>
      <c r="L539" s="43">
        <f>C539</f>
        <v>32.859000000000009</v>
      </c>
      <c r="M539" s="43"/>
      <c r="N539" s="43"/>
      <c r="O539" s="43"/>
      <c r="P539" s="43"/>
      <c r="Q539" s="43"/>
    </row>
    <row r="540" spans="1:17" ht="14.4" x14ac:dyDescent="0.25">
      <c r="A540" s="150"/>
      <c r="B540" s="157"/>
      <c r="C540" s="34">
        <f t="shared" si="414"/>
        <v>10.79</v>
      </c>
      <c r="D540" s="131">
        <v>10.79</v>
      </c>
      <c r="E540" s="17">
        <v>1</v>
      </c>
      <c r="F540" s="33">
        <v>1</v>
      </c>
      <c r="G540" s="45"/>
      <c r="H540" s="488">
        <f t="shared" si="449"/>
        <v>10.79</v>
      </c>
      <c r="I540" s="42"/>
      <c r="J540" s="43">
        <f t="shared" ref="J540" si="483">H540-I540</f>
        <v>10.79</v>
      </c>
      <c r="K540" s="43"/>
      <c r="L540" s="43"/>
      <c r="M540" s="43"/>
      <c r="N540" s="43"/>
      <c r="O540" s="43"/>
      <c r="P540" s="43">
        <f>J540</f>
        <v>10.79</v>
      </c>
      <c r="Q540" s="43"/>
    </row>
    <row r="541" spans="1:17" ht="14.4" x14ac:dyDescent="0.25">
      <c r="A541" s="150">
        <v>12.85</v>
      </c>
      <c r="B541" s="15" t="s">
        <v>245</v>
      </c>
      <c r="C541" s="34">
        <f t="shared" si="414"/>
        <v>39.555000000000007</v>
      </c>
      <c r="D541" s="131">
        <f>15.85-1.2</f>
        <v>14.65</v>
      </c>
      <c r="E541" s="17">
        <v>2.7</v>
      </c>
      <c r="F541" s="33">
        <v>1</v>
      </c>
      <c r="G541" s="45"/>
      <c r="H541" s="65"/>
      <c r="I541" s="42"/>
      <c r="J541" s="43"/>
      <c r="K541" s="43"/>
      <c r="L541" s="43">
        <f>C541</f>
        <v>39.555000000000007</v>
      </c>
      <c r="M541" s="43"/>
      <c r="N541" s="43"/>
      <c r="O541" s="43"/>
      <c r="P541" s="43"/>
      <c r="Q541" s="43"/>
    </row>
    <row r="542" spans="1:17" ht="14.4" x14ac:dyDescent="0.25">
      <c r="A542" s="150">
        <v>24.35</v>
      </c>
      <c r="B542" s="15" t="s">
        <v>287</v>
      </c>
      <c r="C542" s="34">
        <f t="shared" si="414"/>
        <v>43.497</v>
      </c>
      <c r="D542" s="131">
        <f>20.14-4.03</f>
        <v>16.11</v>
      </c>
      <c r="E542" s="17">
        <v>2.7</v>
      </c>
      <c r="F542" s="33">
        <v>1</v>
      </c>
      <c r="G542" s="45"/>
      <c r="H542" s="65"/>
      <c r="I542" s="42"/>
      <c r="J542" s="43"/>
      <c r="K542" s="43"/>
      <c r="L542" s="43">
        <f>C542</f>
        <v>43.497</v>
      </c>
      <c r="M542" s="43"/>
      <c r="N542" s="43"/>
      <c r="O542" s="43"/>
      <c r="P542" s="43"/>
      <c r="Q542" s="43"/>
    </row>
    <row r="543" spans="1:17" ht="14.4" x14ac:dyDescent="0.25">
      <c r="A543" s="150">
        <v>4.3499999999999996</v>
      </c>
      <c r="B543" s="15" t="s">
        <v>213</v>
      </c>
      <c r="C543" s="34">
        <f t="shared" si="414"/>
        <v>23.360199999999999</v>
      </c>
      <c r="D543" s="131">
        <v>8.6199999999999992</v>
      </c>
      <c r="E543" s="17">
        <v>2.71</v>
      </c>
      <c r="F543" s="33">
        <v>1</v>
      </c>
      <c r="G543" s="45"/>
      <c r="H543" s="65"/>
      <c r="I543" s="42"/>
      <c r="J543" s="43"/>
      <c r="K543" s="43"/>
      <c r="L543" s="43"/>
      <c r="M543" s="43"/>
      <c r="N543" s="43"/>
      <c r="O543" s="43"/>
      <c r="P543" s="43">
        <f>C543</f>
        <v>23.360199999999999</v>
      </c>
      <c r="Q543" s="43"/>
    </row>
    <row r="544" spans="1:17" ht="14.4" x14ac:dyDescent="0.25">
      <c r="A544" s="150">
        <v>10.7</v>
      </c>
      <c r="B544" s="15" t="s">
        <v>248</v>
      </c>
      <c r="C544" s="34">
        <f t="shared" si="414"/>
        <v>38.610000000000007</v>
      </c>
      <c r="D544" s="131">
        <f>14.3</f>
        <v>14.3</v>
      </c>
      <c r="E544" s="17">
        <v>2.7</v>
      </c>
      <c r="F544" s="33">
        <v>1</v>
      </c>
      <c r="G544" s="45"/>
      <c r="H544" s="65"/>
      <c r="I544" s="42"/>
      <c r="J544" s="43"/>
      <c r="K544" s="43"/>
      <c r="L544" s="43">
        <f>C544</f>
        <v>38.610000000000007</v>
      </c>
      <c r="M544" s="43"/>
      <c r="N544" s="43"/>
      <c r="O544" s="43"/>
      <c r="P544" s="43"/>
      <c r="Q544" s="43"/>
    </row>
    <row r="545" spans="1:17" ht="14.4" x14ac:dyDescent="0.25">
      <c r="A545" s="150">
        <v>8.48</v>
      </c>
      <c r="B545" s="15" t="s">
        <v>289</v>
      </c>
      <c r="C545" s="34">
        <f t="shared" si="414"/>
        <v>31.779</v>
      </c>
      <c r="D545" s="131">
        <f>11.77</f>
        <v>11.77</v>
      </c>
      <c r="E545" s="17">
        <v>2.7</v>
      </c>
      <c r="F545" s="33">
        <v>1</v>
      </c>
      <c r="G545" s="45"/>
      <c r="H545" s="65"/>
      <c r="I545" s="42"/>
      <c r="J545" s="43"/>
      <c r="K545" s="43"/>
      <c r="L545" s="43">
        <f>C545</f>
        <v>31.779</v>
      </c>
      <c r="M545" s="43"/>
      <c r="N545" s="43"/>
      <c r="O545" s="43"/>
      <c r="P545" s="43"/>
      <c r="Q545" s="43"/>
    </row>
    <row r="546" spans="1:17" ht="14.4" x14ac:dyDescent="0.25">
      <c r="A546" s="150">
        <v>4.41</v>
      </c>
      <c r="B546" s="15" t="s">
        <v>213</v>
      </c>
      <c r="C546" s="34">
        <f t="shared" si="414"/>
        <v>25.419800000000002</v>
      </c>
      <c r="D546" s="131">
        <v>9.3800000000000008</v>
      </c>
      <c r="E546" s="17">
        <v>2.71</v>
      </c>
      <c r="F546" s="33">
        <v>1</v>
      </c>
      <c r="G546" s="45"/>
      <c r="H546" s="65"/>
      <c r="I546" s="42"/>
      <c r="J546" s="43"/>
      <c r="K546" s="43"/>
      <c r="L546" s="43"/>
      <c r="M546" s="43"/>
      <c r="N546" s="43"/>
      <c r="O546" s="43"/>
      <c r="P546" s="43">
        <f>C546</f>
        <v>25.419800000000002</v>
      </c>
      <c r="Q546" s="43"/>
    </row>
    <row r="547" spans="1:17" ht="14.4" x14ac:dyDescent="0.25">
      <c r="A547" s="150">
        <v>7.79</v>
      </c>
      <c r="B547" s="15" t="s">
        <v>281</v>
      </c>
      <c r="C547" s="34">
        <f t="shared" si="414"/>
        <v>30.379100000000001</v>
      </c>
      <c r="D547" s="131">
        <v>11.21</v>
      </c>
      <c r="E547" s="17">
        <v>2.71</v>
      </c>
      <c r="F547" s="33">
        <v>1</v>
      </c>
      <c r="G547" s="45"/>
      <c r="H547" s="65"/>
      <c r="I547" s="42"/>
      <c r="J547" s="43"/>
      <c r="K547" s="43"/>
      <c r="L547" s="43"/>
      <c r="M547" s="43"/>
      <c r="N547" s="43"/>
      <c r="O547" s="43"/>
      <c r="P547" s="43"/>
      <c r="Q547" s="43">
        <f>C547</f>
        <v>30.379100000000001</v>
      </c>
    </row>
    <row r="548" spans="1:17" ht="14.4" x14ac:dyDescent="0.25">
      <c r="A548" s="150">
        <v>32.950000000000003</v>
      </c>
      <c r="B548" s="15" t="s">
        <v>294</v>
      </c>
      <c r="C548" s="34">
        <f t="shared" si="414"/>
        <v>30.969000000000005</v>
      </c>
      <c r="D548" s="131">
        <f>(30.61-11.29)-7.85</f>
        <v>11.47</v>
      </c>
      <c r="E548" s="17">
        <v>2.7</v>
      </c>
      <c r="F548" s="33">
        <v>1</v>
      </c>
      <c r="G548" s="45"/>
      <c r="H548" s="65"/>
      <c r="I548" s="42"/>
      <c r="J548" s="43"/>
      <c r="K548" s="43"/>
      <c r="L548" s="43">
        <f>C548</f>
        <v>30.969000000000005</v>
      </c>
      <c r="M548" s="43"/>
      <c r="N548" s="43"/>
      <c r="O548" s="43"/>
      <c r="P548" s="43"/>
      <c r="Q548" s="43"/>
    </row>
    <row r="549" spans="1:17" ht="14.4" x14ac:dyDescent="0.25">
      <c r="A549" s="150"/>
      <c r="B549" s="15"/>
      <c r="C549" s="34">
        <f t="shared" si="414"/>
        <v>30.483000000000001</v>
      </c>
      <c r="D549" s="131">
        <v>11.29</v>
      </c>
      <c r="E549" s="17">
        <v>2.7</v>
      </c>
      <c r="F549" s="33">
        <v>1</v>
      </c>
      <c r="G549" s="45"/>
      <c r="H549" s="65">
        <f t="shared" ref="H549" si="484">C549</f>
        <v>30.483000000000001</v>
      </c>
      <c r="I549" s="42">
        <f t="shared" ref="I549" si="485">H549-J549</f>
        <v>30.483000000000001</v>
      </c>
      <c r="J549" s="43"/>
      <c r="K549" s="43"/>
      <c r="L549" s="43">
        <f t="shared" ref="L549" si="486">I549</f>
        <v>30.483000000000001</v>
      </c>
      <c r="M549" s="43"/>
      <c r="N549" s="43"/>
      <c r="O549" s="43"/>
      <c r="P549" s="43"/>
      <c r="Q549" s="43"/>
    </row>
    <row r="550" spans="1:17" ht="14.4" x14ac:dyDescent="0.25">
      <c r="A550" s="150"/>
      <c r="B550" s="15"/>
      <c r="C550" s="34">
        <f t="shared" si="414"/>
        <v>21.195</v>
      </c>
      <c r="D550" s="131">
        <v>7.85</v>
      </c>
      <c r="E550" s="17">
        <v>2.7</v>
      </c>
      <c r="F550" s="33">
        <v>1</v>
      </c>
      <c r="G550" s="45"/>
      <c r="H550" s="65"/>
      <c r="I550" s="42"/>
      <c r="J550" s="43"/>
      <c r="K550" s="43">
        <f>C550</f>
        <v>21.195</v>
      </c>
      <c r="L550" s="43"/>
      <c r="M550" s="43"/>
      <c r="N550" s="43"/>
      <c r="O550" s="43"/>
      <c r="P550" s="43"/>
      <c r="Q550" s="43"/>
    </row>
    <row r="551" spans="1:17" ht="14.4" x14ac:dyDescent="0.25">
      <c r="A551" s="150">
        <v>26.13</v>
      </c>
      <c r="B551" s="15" t="s">
        <v>290</v>
      </c>
      <c r="C551" s="34">
        <f t="shared" si="414"/>
        <v>29.294999999999995</v>
      </c>
      <c r="D551" s="131">
        <f>(21.93-4.1)-6.98</f>
        <v>10.849999999999998</v>
      </c>
      <c r="E551" s="17">
        <v>2.7</v>
      </c>
      <c r="F551" s="33">
        <v>1</v>
      </c>
      <c r="G551" s="45"/>
      <c r="H551" s="65"/>
      <c r="I551" s="42"/>
      <c r="J551" s="43"/>
      <c r="K551" s="43"/>
      <c r="L551" s="43">
        <f>C551</f>
        <v>29.294999999999995</v>
      </c>
      <c r="M551" s="43"/>
      <c r="N551" s="43"/>
      <c r="O551" s="43"/>
      <c r="P551" s="43"/>
      <c r="Q551" s="43"/>
    </row>
    <row r="552" spans="1:17" ht="14.4" x14ac:dyDescent="0.25">
      <c r="A552" s="150"/>
      <c r="B552" s="15"/>
      <c r="C552" s="34">
        <f t="shared" si="414"/>
        <v>11.07</v>
      </c>
      <c r="D552" s="131">
        <v>4.0999999999999996</v>
      </c>
      <c r="E552" s="17">
        <v>2.7</v>
      </c>
      <c r="F552" s="33">
        <v>1</v>
      </c>
      <c r="G552" s="45"/>
      <c r="H552" s="65">
        <f t="shared" ref="H552" si="487">C552</f>
        <v>11.07</v>
      </c>
      <c r="I552" s="42">
        <f t="shared" ref="I552" si="488">H552-J552</f>
        <v>11.07</v>
      </c>
      <c r="J552" s="43"/>
      <c r="K552" s="43"/>
      <c r="L552" s="43">
        <f t="shared" ref="L552" si="489">I552</f>
        <v>11.07</v>
      </c>
      <c r="M552" s="43"/>
      <c r="N552" s="43"/>
      <c r="O552" s="43"/>
      <c r="P552" s="43"/>
      <c r="Q552" s="43"/>
    </row>
    <row r="553" spans="1:17" ht="14.4" x14ac:dyDescent="0.25">
      <c r="A553" s="150"/>
      <c r="B553" s="15"/>
      <c r="C553" s="34">
        <f t="shared" si="414"/>
        <v>18.846000000000004</v>
      </c>
      <c r="D553" s="131">
        <v>6.98</v>
      </c>
      <c r="E553" s="17">
        <v>2.7</v>
      </c>
      <c r="F553" s="33">
        <v>1</v>
      </c>
      <c r="G553" s="45"/>
      <c r="H553" s="65"/>
      <c r="I553" s="42"/>
      <c r="J553" s="43"/>
      <c r="K553" s="43">
        <f>C553</f>
        <v>18.846000000000004</v>
      </c>
      <c r="L553" s="43"/>
      <c r="M553" s="43"/>
      <c r="N553" s="43"/>
      <c r="O553" s="43"/>
      <c r="P553" s="43"/>
      <c r="Q553" s="43"/>
    </row>
    <row r="554" spans="1:17" ht="14.4" x14ac:dyDescent="0.25">
      <c r="A554" s="150">
        <v>24.71</v>
      </c>
      <c r="B554" s="15" t="s">
        <v>291</v>
      </c>
      <c r="C554" s="34">
        <f t="shared" si="414"/>
        <v>29.969999999999995</v>
      </c>
      <c r="D554" s="131">
        <f>(21.68-3.6)-6.98</f>
        <v>11.099999999999998</v>
      </c>
      <c r="E554" s="17">
        <v>2.7</v>
      </c>
      <c r="F554" s="33">
        <v>1</v>
      </c>
      <c r="G554" s="45"/>
      <c r="H554" s="65"/>
      <c r="I554" s="42"/>
      <c r="J554" s="43"/>
      <c r="K554" s="43"/>
      <c r="L554" s="43">
        <f>C554</f>
        <v>29.969999999999995</v>
      </c>
      <c r="M554" s="43"/>
      <c r="N554" s="43"/>
      <c r="O554" s="43"/>
      <c r="P554" s="43"/>
      <c r="Q554" s="43"/>
    </row>
    <row r="555" spans="1:17" ht="14.4" x14ac:dyDescent="0.25">
      <c r="A555" s="150"/>
      <c r="B555" s="15"/>
      <c r="C555" s="34">
        <f t="shared" si="414"/>
        <v>9.7200000000000006</v>
      </c>
      <c r="D555" s="131">
        <v>3.6</v>
      </c>
      <c r="E555" s="17">
        <v>2.7</v>
      </c>
      <c r="F555" s="33">
        <v>1</v>
      </c>
      <c r="G555" s="45"/>
      <c r="H555" s="65">
        <f t="shared" ref="H555" si="490">C555</f>
        <v>9.7200000000000006</v>
      </c>
      <c r="I555" s="42">
        <f t="shared" ref="I555" si="491">H555-J555</f>
        <v>9.7200000000000006</v>
      </c>
      <c r="J555" s="43"/>
      <c r="K555" s="43"/>
      <c r="L555" s="43">
        <f t="shared" ref="L555" si="492">I555</f>
        <v>9.7200000000000006</v>
      </c>
      <c r="M555" s="43"/>
      <c r="N555" s="43"/>
      <c r="O555" s="43"/>
      <c r="P555" s="43"/>
      <c r="Q555" s="43"/>
    </row>
    <row r="556" spans="1:17" ht="14.4" x14ac:dyDescent="0.25">
      <c r="A556" s="150"/>
      <c r="B556" s="15"/>
      <c r="C556" s="34">
        <f t="shared" si="414"/>
        <v>18.846000000000004</v>
      </c>
      <c r="D556" s="131">
        <v>6.98</v>
      </c>
      <c r="E556" s="17">
        <v>2.7</v>
      </c>
      <c r="F556" s="33">
        <v>1</v>
      </c>
      <c r="G556" s="45"/>
      <c r="H556" s="65"/>
      <c r="I556" s="42"/>
      <c r="J556" s="43"/>
      <c r="K556" s="43">
        <f>C556</f>
        <v>18.846000000000004</v>
      </c>
      <c r="L556" s="43"/>
      <c r="M556" s="43"/>
      <c r="N556" s="43"/>
      <c r="O556" s="43"/>
      <c r="P556" s="43"/>
      <c r="Q556" s="43"/>
    </row>
    <row r="557" spans="1:17" ht="14.4" x14ac:dyDescent="0.25">
      <c r="A557" s="150">
        <v>21.07</v>
      </c>
      <c r="B557" s="15" t="s">
        <v>292</v>
      </c>
      <c r="C557" s="34">
        <f t="shared" si="414"/>
        <v>26.864999999999998</v>
      </c>
      <c r="D557" s="131">
        <f>(19.38-3.85)-5.58</f>
        <v>9.9499999999999993</v>
      </c>
      <c r="E557" s="17">
        <v>2.7</v>
      </c>
      <c r="F557" s="33">
        <v>1</v>
      </c>
      <c r="G557" s="45"/>
      <c r="H557" s="65"/>
      <c r="I557" s="42"/>
      <c r="J557" s="43"/>
      <c r="K557" s="43"/>
      <c r="L557" s="43">
        <f>C557</f>
        <v>26.864999999999998</v>
      </c>
      <c r="M557" s="43"/>
      <c r="N557" s="43"/>
      <c r="O557" s="43"/>
      <c r="P557" s="43"/>
      <c r="Q557" s="43"/>
    </row>
    <row r="558" spans="1:17" ht="14.4" x14ac:dyDescent="0.25">
      <c r="A558" s="150"/>
      <c r="B558" s="15"/>
      <c r="C558" s="34">
        <f t="shared" si="414"/>
        <v>10.395000000000001</v>
      </c>
      <c r="D558" s="131">
        <v>3.85</v>
      </c>
      <c r="E558" s="17">
        <v>2.7</v>
      </c>
      <c r="F558" s="33">
        <v>1</v>
      </c>
      <c r="G558" s="45"/>
      <c r="H558" s="65">
        <f t="shared" ref="H558" si="493">C558</f>
        <v>10.395000000000001</v>
      </c>
      <c r="I558" s="42">
        <f t="shared" ref="I558" si="494">H558-J558</f>
        <v>10.395000000000001</v>
      </c>
      <c r="J558" s="43"/>
      <c r="K558" s="43"/>
      <c r="L558" s="43">
        <f t="shared" ref="L558" si="495">I558</f>
        <v>10.395000000000001</v>
      </c>
      <c r="M558" s="43"/>
      <c r="N558" s="43"/>
      <c r="O558" s="43"/>
      <c r="P558" s="43"/>
      <c r="Q558" s="43"/>
    </row>
    <row r="559" spans="1:17" ht="14.4" x14ac:dyDescent="0.25">
      <c r="A559" s="150"/>
      <c r="B559" s="15"/>
      <c r="C559" s="34">
        <f t="shared" si="414"/>
        <v>15.066000000000001</v>
      </c>
      <c r="D559" s="131">
        <v>5.58</v>
      </c>
      <c r="E559" s="17">
        <v>2.7</v>
      </c>
      <c r="F559" s="33">
        <v>1</v>
      </c>
      <c r="G559" s="45"/>
      <c r="H559" s="65"/>
      <c r="I559" s="42"/>
      <c r="J559" s="43"/>
      <c r="K559" s="43">
        <f>C559</f>
        <v>15.066000000000001</v>
      </c>
      <c r="L559" s="43"/>
      <c r="M559" s="43"/>
      <c r="N559" s="43"/>
      <c r="O559" s="43"/>
      <c r="P559" s="43"/>
      <c r="Q559" s="43"/>
    </row>
    <row r="560" spans="1:17" ht="14.4" x14ac:dyDescent="0.25">
      <c r="A560" s="150">
        <v>23.85</v>
      </c>
      <c r="B560" s="15" t="s">
        <v>293</v>
      </c>
      <c r="C560" s="34">
        <f t="shared" ref="C560:C564" si="496">D560*E560*F560-G560</f>
        <v>34.978499999999997</v>
      </c>
      <c r="D560" s="131">
        <f>(22.39-7.44)-1.995</f>
        <v>12.954999999999998</v>
      </c>
      <c r="E560" s="17">
        <v>2.7</v>
      </c>
      <c r="F560" s="33">
        <v>1</v>
      </c>
      <c r="G560" s="45"/>
      <c r="H560" s="65"/>
      <c r="I560" s="42"/>
      <c r="J560" s="43"/>
      <c r="K560" s="43"/>
      <c r="L560" s="43">
        <f>C560</f>
        <v>34.978499999999997</v>
      </c>
      <c r="M560" s="43"/>
      <c r="N560" s="43"/>
      <c r="O560" s="43"/>
      <c r="P560" s="43"/>
      <c r="Q560" s="43"/>
    </row>
    <row r="561" spans="1:18" ht="14.4" x14ac:dyDescent="0.25">
      <c r="A561" s="150"/>
      <c r="B561" s="15"/>
      <c r="C561" s="34">
        <f t="shared" si="496"/>
        <v>12.528000000000002</v>
      </c>
      <c r="D561" s="131">
        <f>7.44-2.8</f>
        <v>4.6400000000000006</v>
      </c>
      <c r="E561" s="17">
        <v>2.7</v>
      </c>
      <c r="F561" s="33">
        <v>1</v>
      </c>
      <c r="G561" s="45"/>
      <c r="H561" s="65">
        <f t="shared" ref="H561" si="497">C561</f>
        <v>12.528000000000002</v>
      </c>
      <c r="I561" s="42">
        <f t="shared" ref="I561" si="498">H561-J561</f>
        <v>12.528000000000002</v>
      </c>
      <c r="J561" s="43"/>
      <c r="K561" s="43"/>
      <c r="L561" s="43">
        <f t="shared" ref="L561" si="499">I561</f>
        <v>12.528000000000002</v>
      </c>
      <c r="M561" s="43"/>
      <c r="N561" s="43"/>
      <c r="O561" s="43"/>
      <c r="P561" s="43"/>
      <c r="Q561" s="43"/>
    </row>
    <row r="562" spans="1:18" ht="14.4" x14ac:dyDescent="0.25">
      <c r="A562" s="150"/>
      <c r="B562" s="15"/>
      <c r="C562" s="34">
        <f t="shared" si="496"/>
        <v>12.96</v>
      </c>
      <c r="D562" s="131">
        <v>4.8</v>
      </c>
      <c r="E562" s="17">
        <v>2.7</v>
      </c>
      <c r="F562" s="33">
        <v>1</v>
      </c>
      <c r="G562" s="45"/>
      <c r="H562" s="65"/>
      <c r="I562" s="42"/>
      <c r="J562" s="43"/>
      <c r="K562" s="43">
        <f>C562</f>
        <v>12.96</v>
      </c>
      <c r="L562" s="43"/>
      <c r="M562" s="43"/>
      <c r="N562" s="43"/>
      <c r="O562" s="43"/>
      <c r="P562" s="43"/>
      <c r="Q562" s="43"/>
    </row>
    <row r="563" spans="1:18" ht="14.4" x14ac:dyDescent="0.25">
      <c r="A563" s="150">
        <v>6.34</v>
      </c>
      <c r="B563" s="15" t="s">
        <v>213</v>
      </c>
      <c r="C563" s="34">
        <f t="shared" si="496"/>
        <v>19.755900000000004</v>
      </c>
      <c r="D563" s="131">
        <f>10.89-3.6</f>
        <v>7.2900000000000009</v>
      </c>
      <c r="E563" s="17">
        <v>2.71</v>
      </c>
      <c r="F563" s="33">
        <v>1</v>
      </c>
      <c r="G563" s="45"/>
      <c r="H563" s="65"/>
      <c r="I563" s="42"/>
      <c r="J563" s="43"/>
      <c r="K563" s="43"/>
      <c r="L563" s="43"/>
      <c r="M563" s="43"/>
      <c r="N563" s="43"/>
      <c r="O563" s="43"/>
      <c r="P563" s="43">
        <f>C563</f>
        <v>19.755900000000004</v>
      </c>
      <c r="Q563" s="43"/>
    </row>
    <row r="564" spans="1:18" ht="14.4" x14ac:dyDescent="0.25">
      <c r="A564" s="150"/>
      <c r="B564" s="260"/>
      <c r="C564" s="498">
        <f t="shared" si="496"/>
        <v>9.7560000000000002</v>
      </c>
      <c r="D564" s="131">
        <v>3.6</v>
      </c>
      <c r="E564" s="17">
        <v>2.71</v>
      </c>
      <c r="F564" s="33">
        <v>1</v>
      </c>
      <c r="G564" s="261"/>
      <c r="H564" s="65">
        <f t="shared" ref="H564" si="500">C564</f>
        <v>9.7560000000000002</v>
      </c>
      <c r="I564" s="42"/>
      <c r="J564" s="43">
        <f t="shared" ref="J564" si="501">H564-I564</f>
        <v>9.7560000000000002</v>
      </c>
      <c r="K564" s="43"/>
      <c r="L564" s="43"/>
      <c r="M564" s="43"/>
      <c r="N564" s="43"/>
      <c r="O564" s="43"/>
      <c r="P564" s="43">
        <f>J564</f>
        <v>9.7560000000000002</v>
      </c>
      <c r="Q564" s="43"/>
    </row>
    <row r="565" spans="1:18" ht="19.95" customHeight="1" x14ac:dyDescent="0.25">
      <c r="A565" s="151"/>
      <c r="B565" s="256" t="s">
        <v>22</v>
      </c>
      <c r="C565" s="255">
        <f>SUM(C453:C564)</f>
        <v>2455.8761</v>
      </c>
      <c r="D565" s="255"/>
      <c r="E565" s="255"/>
      <c r="F565" s="255"/>
      <c r="G565" s="255"/>
      <c r="H565" s="255">
        <f t="shared" ref="H565:Q565" si="502">SUM(H453:H563)</f>
        <v>420.14510000000007</v>
      </c>
      <c r="I565" s="255">
        <f t="shared" si="502"/>
        <v>339.95100000000008</v>
      </c>
      <c r="J565" s="255">
        <f t="shared" si="502"/>
        <v>80.194099999999992</v>
      </c>
      <c r="K565" s="255">
        <f t="shared" si="502"/>
        <v>179.05050000000003</v>
      </c>
      <c r="L565" s="255">
        <f t="shared" si="502"/>
        <v>1671.3175000000001</v>
      </c>
      <c r="M565" s="255">
        <f t="shared" si="502"/>
        <v>44.83100000000001</v>
      </c>
      <c r="N565" s="255">
        <f t="shared" si="502"/>
        <v>0</v>
      </c>
      <c r="O565" s="255">
        <f t="shared" si="502"/>
        <v>0</v>
      </c>
      <c r="P565" s="255">
        <f t="shared" si="502"/>
        <v>445.31240000000003</v>
      </c>
      <c r="Q565" s="255">
        <f t="shared" si="502"/>
        <v>105.6087</v>
      </c>
      <c r="R565" s="1"/>
    </row>
    <row r="566" spans="1:18" ht="19.95" customHeight="1" x14ac:dyDescent="0.25">
      <c r="A566" s="151"/>
      <c r="B566" s="257"/>
      <c r="C566" s="127"/>
      <c r="D566" s="127"/>
      <c r="E566" s="127"/>
      <c r="F566" s="127"/>
      <c r="G566" s="127"/>
      <c r="H566" s="127"/>
      <c r="I566" s="127"/>
      <c r="J566" s="127"/>
      <c r="K566" s="127"/>
      <c r="L566" s="258">
        <v>1</v>
      </c>
      <c r="M566" s="258">
        <v>4</v>
      </c>
      <c r="N566" s="258">
        <v>5</v>
      </c>
      <c r="O566" s="258">
        <v>6</v>
      </c>
      <c r="P566" s="258">
        <v>3</v>
      </c>
      <c r="Q566" s="259">
        <v>2</v>
      </c>
    </row>
    <row r="567" spans="1:18" ht="40.049999999999997" customHeight="1" x14ac:dyDescent="0.25">
      <c r="B567" s="843" t="s">
        <v>16</v>
      </c>
      <c r="C567" s="839" t="s">
        <v>17</v>
      </c>
      <c r="D567" s="839" t="s">
        <v>18</v>
      </c>
      <c r="E567" s="839" t="s">
        <v>28</v>
      </c>
      <c r="F567" s="842" t="s">
        <v>19</v>
      </c>
      <c r="G567" s="842" t="s">
        <v>13</v>
      </c>
      <c r="H567" s="842" t="s">
        <v>24</v>
      </c>
      <c r="I567" s="842" t="s">
        <v>45</v>
      </c>
      <c r="J567" s="842" t="s">
        <v>26</v>
      </c>
      <c r="K567" s="844" t="s">
        <v>864</v>
      </c>
      <c r="L567" s="842" t="s">
        <v>69</v>
      </c>
      <c r="M567" s="842" t="s">
        <v>73</v>
      </c>
      <c r="N567" s="842" t="s">
        <v>76</v>
      </c>
      <c r="O567" s="842" t="s">
        <v>77</v>
      </c>
      <c r="P567" s="842" t="s">
        <v>72</v>
      </c>
      <c r="Q567" s="842" t="s">
        <v>70</v>
      </c>
    </row>
    <row r="568" spans="1:18" ht="40.049999999999997" customHeight="1" x14ac:dyDescent="0.25">
      <c r="B568" s="840"/>
      <c r="C568" s="841"/>
      <c r="D568" s="841"/>
      <c r="E568" s="841"/>
      <c r="F568" s="839"/>
      <c r="G568" s="839"/>
      <c r="H568" s="839"/>
      <c r="I568" s="839"/>
      <c r="J568" s="839"/>
      <c r="K568" s="845"/>
      <c r="L568" s="839"/>
      <c r="M568" s="839"/>
      <c r="N568" s="839"/>
      <c r="O568" s="839"/>
      <c r="P568" s="839"/>
      <c r="Q568" s="839"/>
    </row>
    <row r="569" spans="1:18" ht="15.6" x14ac:dyDescent="0.25">
      <c r="A569" s="141" t="s">
        <v>67</v>
      </c>
      <c r="B569" s="59" t="s">
        <v>62</v>
      </c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1"/>
    </row>
    <row r="570" spans="1:18" ht="15.6" x14ac:dyDescent="0.25">
      <c r="A570" s="560">
        <v>11.67</v>
      </c>
      <c r="B570" s="220" t="s">
        <v>168</v>
      </c>
      <c r="C570" s="34">
        <f t="shared" ref="C570:C578" si="503">D570*E570*F570-G570</f>
        <v>22.143000000000001</v>
      </c>
      <c r="D570" s="576">
        <f>14.83-3.74</f>
        <v>11.09</v>
      </c>
      <c r="E570" s="578">
        <v>2.7</v>
      </c>
      <c r="F570" s="33">
        <v>1</v>
      </c>
      <c r="G570" s="600">
        <v>7.8</v>
      </c>
      <c r="H570" s="65">
        <f t="shared" ref="H570" si="504">C570</f>
        <v>22.143000000000001</v>
      </c>
      <c r="I570" s="42">
        <f t="shared" ref="I570" si="505">H570-J570</f>
        <v>22.143000000000001</v>
      </c>
      <c r="J570" s="598"/>
      <c r="K570" s="598"/>
      <c r="L570" s="578">
        <f>I570</f>
        <v>22.143000000000001</v>
      </c>
      <c r="M570" s="598"/>
      <c r="N570" s="598"/>
      <c r="O570" s="598"/>
      <c r="P570" s="598"/>
      <c r="Q570" s="598"/>
    </row>
    <row r="571" spans="1:18" ht="15.6" x14ac:dyDescent="0.25">
      <c r="A571" s="559"/>
      <c r="B571" s="157"/>
      <c r="C571" s="34">
        <f t="shared" si="503"/>
        <v>2.5780000000000012</v>
      </c>
      <c r="D571" s="576">
        <v>3.74</v>
      </c>
      <c r="E571" s="578">
        <v>2.7</v>
      </c>
      <c r="F571" s="33">
        <v>1</v>
      </c>
      <c r="G571" s="575">
        <v>7.52</v>
      </c>
      <c r="H571" s="598"/>
      <c r="I571" s="598"/>
      <c r="J571" s="598"/>
      <c r="K571" s="598"/>
      <c r="L571" s="578">
        <f>C571</f>
        <v>2.5780000000000012</v>
      </c>
      <c r="M571" s="598"/>
      <c r="N571" s="598"/>
      <c r="O571" s="598"/>
      <c r="P571" s="598"/>
      <c r="Q571" s="598"/>
    </row>
    <row r="572" spans="1:18" ht="15.6" x14ac:dyDescent="0.25">
      <c r="A572" s="560">
        <v>33.630000000000003</v>
      </c>
      <c r="B572" s="220" t="s">
        <v>258</v>
      </c>
      <c r="C572" s="34">
        <f t="shared" si="503"/>
        <v>68.37</v>
      </c>
      <c r="D572" s="578">
        <f>31.16-2.26</f>
        <v>28.9</v>
      </c>
      <c r="E572" s="578">
        <v>2.7</v>
      </c>
      <c r="F572" s="33">
        <v>1</v>
      </c>
      <c r="G572" s="575">
        <v>9.66</v>
      </c>
      <c r="H572" s="65">
        <f t="shared" ref="H572" si="506">C572</f>
        <v>68.37</v>
      </c>
      <c r="I572" s="42">
        <f t="shared" ref="I572" si="507">H572-J572</f>
        <v>68.37</v>
      </c>
      <c r="J572" s="598"/>
      <c r="K572" s="598"/>
      <c r="L572" s="578">
        <f>I572</f>
        <v>68.37</v>
      </c>
      <c r="M572" s="598"/>
      <c r="N572" s="598"/>
      <c r="O572" s="598"/>
      <c r="P572" s="598"/>
      <c r="Q572" s="598"/>
    </row>
    <row r="573" spans="1:18" ht="15.6" x14ac:dyDescent="0.25">
      <c r="A573" s="559"/>
      <c r="B573" s="157"/>
      <c r="C573" s="34">
        <f t="shared" si="503"/>
        <v>1.6919999999999993</v>
      </c>
      <c r="D573" s="576">
        <v>2.2599999999999998</v>
      </c>
      <c r="E573" s="578">
        <v>2.7</v>
      </c>
      <c r="F573" s="33">
        <v>1</v>
      </c>
      <c r="G573" s="575">
        <v>4.41</v>
      </c>
      <c r="H573" s="598"/>
      <c r="I573" s="598"/>
      <c r="J573" s="598"/>
      <c r="K573" s="598"/>
      <c r="L573" s="578">
        <f>C573</f>
        <v>1.6919999999999993</v>
      </c>
      <c r="M573" s="598"/>
      <c r="N573" s="598"/>
      <c r="O573" s="598"/>
      <c r="P573" s="598"/>
      <c r="Q573" s="598"/>
    </row>
    <row r="574" spans="1:18" ht="15.6" x14ac:dyDescent="0.25">
      <c r="A574" s="559">
        <v>43.48</v>
      </c>
      <c r="B574" s="157" t="s">
        <v>346</v>
      </c>
      <c r="C574" s="34">
        <f t="shared" si="503"/>
        <v>90.49</v>
      </c>
      <c r="D574" s="576">
        <v>27.85</v>
      </c>
      <c r="E574" s="578">
        <v>3.4</v>
      </c>
      <c r="F574" s="33">
        <v>1</v>
      </c>
      <c r="G574" s="600">
        <v>4.2</v>
      </c>
      <c r="H574" s="65">
        <f t="shared" ref="H574" si="508">C574</f>
        <v>90.49</v>
      </c>
      <c r="I574" s="42">
        <f t="shared" ref="I574" si="509">H574-J574</f>
        <v>90.49</v>
      </c>
      <c r="J574" s="598"/>
      <c r="K574" s="598"/>
      <c r="L574" s="576"/>
      <c r="M574" s="578">
        <f>I574</f>
        <v>90.49</v>
      </c>
      <c r="N574" s="598"/>
      <c r="O574" s="598"/>
      <c r="P574" s="598"/>
      <c r="Q574" s="598"/>
    </row>
    <row r="575" spans="1:18" ht="15.6" x14ac:dyDescent="0.25">
      <c r="A575" s="559">
        <v>7.45</v>
      </c>
      <c r="B575" s="157" t="s">
        <v>724</v>
      </c>
      <c r="C575" s="34">
        <f t="shared" si="503"/>
        <v>37.708500000000001</v>
      </c>
      <c r="D575" s="576">
        <v>10.93</v>
      </c>
      <c r="E575" s="578">
        <v>3.45</v>
      </c>
      <c r="F575" s="33">
        <v>1</v>
      </c>
      <c r="G575" s="575"/>
      <c r="H575" s="598"/>
      <c r="I575" s="598"/>
      <c r="J575" s="598"/>
      <c r="K575" s="598"/>
      <c r="L575" s="576"/>
      <c r="M575" s="576"/>
      <c r="N575" s="598"/>
      <c r="O575" s="598"/>
      <c r="P575" s="598"/>
      <c r="Q575" s="598"/>
    </row>
    <row r="576" spans="1:18" ht="15.6" x14ac:dyDescent="0.25">
      <c r="A576" s="559">
        <v>8.23</v>
      </c>
      <c r="B576" s="157" t="s">
        <v>725</v>
      </c>
      <c r="C576" s="34">
        <f t="shared" si="503"/>
        <v>39.882000000000005</v>
      </c>
      <c r="D576" s="576">
        <v>11.56</v>
      </c>
      <c r="E576" s="578">
        <v>3.45</v>
      </c>
      <c r="F576" s="33">
        <v>1</v>
      </c>
      <c r="G576" s="575"/>
      <c r="H576" s="598"/>
      <c r="I576" s="598"/>
      <c r="J576" s="598"/>
      <c r="K576" s="598"/>
      <c r="L576" s="576"/>
      <c r="M576" s="576"/>
      <c r="N576" s="598"/>
      <c r="O576" s="598"/>
      <c r="P576" s="598"/>
      <c r="Q576" s="598"/>
    </row>
    <row r="577" spans="1:17" ht="15.6" x14ac:dyDescent="0.25">
      <c r="A577" s="563">
        <v>3.9</v>
      </c>
      <c r="B577" s="157" t="s">
        <v>726</v>
      </c>
      <c r="C577" s="34">
        <f t="shared" si="503"/>
        <v>28.738500000000002</v>
      </c>
      <c r="D577" s="576">
        <v>8.33</v>
      </c>
      <c r="E577" s="578">
        <v>3.45</v>
      </c>
      <c r="F577" s="33">
        <v>1</v>
      </c>
      <c r="G577" s="575"/>
      <c r="H577" s="65">
        <f t="shared" ref="H577" si="510">C577</f>
        <v>28.738500000000002</v>
      </c>
      <c r="I577" s="42">
        <f t="shared" ref="I577" si="511">H577-J577</f>
        <v>28.738500000000002</v>
      </c>
      <c r="J577" s="598"/>
      <c r="K577" s="598"/>
      <c r="L577" s="576"/>
      <c r="M577" s="576"/>
      <c r="N577" s="598"/>
      <c r="O577" s="598"/>
      <c r="P577" s="598"/>
      <c r="Q577" s="598"/>
    </row>
    <row r="578" spans="1:17" ht="15.6" x14ac:dyDescent="0.25">
      <c r="A578" s="563">
        <v>3.28</v>
      </c>
      <c r="B578" s="157" t="s">
        <v>229</v>
      </c>
      <c r="C578" s="34">
        <f t="shared" si="503"/>
        <v>53.475000000000001</v>
      </c>
      <c r="D578" s="578">
        <v>15.5</v>
      </c>
      <c r="E578" s="578">
        <v>3.45</v>
      </c>
      <c r="F578" s="33">
        <v>1</v>
      </c>
      <c r="G578" s="577"/>
      <c r="H578" s="65">
        <f t="shared" ref="H578:H579" si="512">C578</f>
        <v>53.475000000000001</v>
      </c>
      <c r="I578" s="42">
        <f t="shared" ref="I578:I579" si="513">H578-J578</f>
        <v>53.475000000000001</v>
      </c>
      <c r="J578" s="598"/>
      <c r="K578" s="598"/>
      <c r="L578" s="576"/>
      <c r="M578" s="576"/>
      <c r="N578" s="598"/>
      <c r="O578" s="598"/>
      <c r="P578" s="598"/>
      <c r="Q578" s="598"/>
    </row>
    <row r="579" spans="1:17" ht="15.6" x14ac:dyDescent="0.25">
      <c r="A579" s="563">
        <v>0.56000000000000005</v>
      </c>
      <c r="B579" s="157" t="s">
        <v>229</v>
      </c>
      <c r="C579" s="34">
        <f t="shared" ref="C579:C671" si="514">D579*E579*F579-G579</f>
        <v>17.560500000000001</v>
      </c>
      <c r="D579" s="576">
        <v>5.09</v>
      </c>
      <c r="E579" s="578">
        <v>3.45</v>
      </c>
      <c r="F579" s="33">
        <v>1</v>
      </c>
      <c r="G579" s="577"/>
      <c r="H579" s="65">
        <f t="shared" si="512"/>
        <v>17.560500000000001</v>
      </c>
      <c r="I579" s="42">
        <f t="shared" si="513"/>
        <v>17.560500000000001</v>
      </c>
      <c r="J579" s="598"/>
      <c r="K579" s="598"/>
      <c r="L579" s="576"/>
      <c r="M579" s="576"/>
      <c r="N579" s="598"/>
      <c r="O579" s="598"/>
      <c r="P579" s="598"/>
      <c r="Q579" s="598"/>
    </row>
    <row r="580" spans="1:17" ht="14.4" x14ac:dyDescent="0.25">
      <c r="A580" s="219">
        <v>26.2</v>
      </c>
      <c r="B580" s="220" t="s">
        <v>295</v>
      </c>
      <c r="C580" s="34">
        <f t="shared" si="514"/>
        <v>24.871000000000002</v>
      </c>
      <c r="D580" s="131">
        <f>26.72-(2.76+8.73)</f>
        <v>15.229999999999999</v>
      </c>
      <c r="E580" s="17">
        <v>2.7</v>
      </c>
      <c r="F580" s="33">
        <v>1</v>
      </c>
      <c r="G580" s="45">
        <v>16.25</v>
      </c>
      <c r="H580" s="65"/>
      <c r="I580" s="42"/>
      <c r="J580" s="43"/>
      <c r="K580" s="43"/>
      <c r="L580" s="43">
        <f>C580</f>
        <v>24.871000000000002</v>
      </c>
      <c r="M580" s="43"/>
      <c r="N580" s="43"/>
      <c r="O580" s="43"/>
      <c r="P580" s="43"/>
      <c r="Q580" s="43"/>
    </row>
    <row r="581" spans="1:17" ht="14.4" x14ac:dyDescent="0.25">
      <c r="A581" s="150"/>
      <c r="B581" s="157"/>
      <c r="C581" s="34">
        <f t="shared" si="514"/>
        <v>23.571000000000002</v>
      </c>
      <c r="D581" s="131">
        <v>8.73</v>
      </c>
      <c r="E581" s="17">
        <v>2.7</v>
      </c>
      <c r="F581" s="33">
        <v>1</v>
      </c>
      <c r="G581" s="45"/>
      <c r="H581" s="65">
        <f t="shared" ref="H581" si="515">C581</f>
        <v>23.571000000000002</v>
      </c>
      <c r="I581" s="42">
        <f t="shared" ref="I581" si="516">H581-J581</f>
        <v>23.571000000000002</v>
      </c>
      <c r="J581" s="43"/>
      <c r="K581" s="43"/>
      <c r="L581" s="43">
        <f>I581</f>
        <v>23.571000000000002</v>
      </c>
      <c r="M581" s="43"/>
      <c r="N581" s="43"/>
      <c r="O581" s="43"/>
      <c r="P581" s="43"/>
      <c r="Q581" s="43"/>
    </row>
    <row r="582" spans="1:17" ht="14.4" x14ac:dyDescent="0.25">
      <c r="A582" s="150">
        <v>0.45</v>
      </c>
      <c r="B582" s="15" t="s">
        <v>229</v>
      </c>
      <c r="C582" s="34">
        <f t="shared" si="514"/>
        <v>3.9899999999999998</v>
      </c>
      <c r="D582" s="131">
        <f>3.86-1.9</f>
        <v>1.96</v>
      </c>
      <c r="E582" s="17">
        <v>4</v>
      </c>
      <c r="F582" s="33">
        <v>1</v>
      </c>
      <c r="G582" s="45">
        <v>3.85</v>
      </c>
      <c r="H582" s="65"/>
      <c r="I582" s="42"/>
      <c r="J582" s="43"/>
      <c r="K582" s="43"/>
      <c r="L582" s="43">
        <f>C582</f>
        <v>3.9899999999999998</v>
      </c>
      <c r="M582" s="43"/>
      <c r="N582" s="43"/>
      <c r="O582" s="43"/>
      <c r="P582" s="43"/>
      <c r="Q582" s="43"/>
    </row>
    <row r="583" spans="1:17" ht="14.4" x14ac:dyDescent="0.25">
      <c r="A583" s="150"/>
      <c r="B583" s="15"/>
      <c r="C583" s="34">
        <f t="shared" si="514"/>
        <v>7.6</v>
      </c>
      <c r="D583" s="131">
        <v>1.9</v>
      </c>
      <c r="E583" s="17">
        <v>4</v>
      </c>
      <c r="F583" s="33">
        <v>1</v>
      </c>
      <c r="G583" s="45"/>
      <c r="H583" s="65">
        <f t="shared" ref="H583" si="517">C583</f>
        <v>7.6</v>
      </c>
      <c r="I583" s="42">
        <f t="shared" ref="I583" si="518">H583-J583</f>
        <v>7.6</v>
      </c>
      <c r="J583" s="43"/>
      <c r="K583" s="43"/>
      <c r="L583" s="43">
        <f t="shared" ref="L583" si="519">I583</f>
        <v>7.6</v>
      </c>
      <c r="M583" s="43"/>
      <c r="N583" s="43"/>
      <c r="O583" s="43"/>
      <c r="P583" s="43"/>
      <c r="Q583" s="43"/>
    </row>
    <row r="584" spans="1:17" ht="14.4" x14ac:dyDescent="0.25">
      <c r="A584" s="150">
        <v>1.63</v>
      </c>
      <c r="B584" s="15" t="s">
        <v>296</v>
      </c>
      <c r="C584" s="34">
        <f t="shared" si="514"/>
        <v>6.1770000000000014</v>
      </c>
      <c r="D584" s="131">
        <f>5.41-1.8</f>
        <v>3.6100000000000003</v>
      </c>
      <c r="E584" s="17">
        <v>2.7</v>
      </c>
      <c r="F584" s="33">
        <v>1</v>
      </c>
      <c r="G584" s="45">
        <v>3.57</v>
      </c>
      <c r="H584" s="65"/>
      <c r="I584" s="42"/>
      <c r="J584" s="43"/>
      <c r="K584" s="43"/>
      <c r="L584" s="43">
        <f>C584</f>
        <v>6.1770000000000014</v>
      </c>
      <c r="M584" s="43"/>
      <c r="N584" s="43"/>
      <c r="O584" s="43"/>
      <c r="P584" s="43"/>
      <c r="Q584" s="43"/>
    </row>
    <row r="585" spans="1:17" ht="14.4" x14ac:dyDescent="0.25">
      <c r="A585" s="150"/>
      <c r="B585" s="15"/>
      <c r="C585" s="34">
        <f t="shared" si="514"/>
        <v>4.8600000000000003</v>
      </c>
      <c r="D585" s="131">
        <v>1.8</v>
      </c>
      <c r="E585" s="17">
        <v>2.7</v>
      </c>
      <c r="F585" s="33">
        <v>1</v>
      </c>
      <c r="G585" s="45"/>
      <c r="H585" s="65">
        <f t="shared" ref="H585" si="520">C585</f>
        <v>4.8600000000000003</v>
      </c>
      <c r="I585" s="42">
        <f t="shared" ref="I585" si="521">H585-J585</f>
        <v>4.8600000000000003</v>
      </c>
      <c r="J585" s="43"/>
      <c r="K585" s="43"/>
      <c r="L585" s="43">
        <f t="shared" ref="L585" si="522">I585</f>
        <v>4.8600000000000003</v>
      </c>
      <c r="M585" s="43"/>
      <c r="N585" s="43"/>
      <c r="O585" s="43"/>
      <c r="P585" s="43"/>
      <c r="Q585" s="43"/>
    </row>
    <row r="586" spans="1:17" ht="14.4" x14ac:dyDescent="0.25">
      <c r="A586" s="150">
        <v>3.03</v>
      </c>
      <c r="B586" s="15" t="s">
        <v>229</v>
      </c>
      <c r="C586" s="34">
        <f t="shared" si="514"/>
        <v>15.810000000000002</v>
      </c>
      <c r="D586" s="131">
        <f>8.51-3.03</f>
        <v>5.48</v>
      </c>
      <c r="E586" s="17">
        <v>4</v>
      </c>
      <c r="F586" s="33">
        <v>1</v>
      </c>
      <c r="G586" s="45">
        <v>6.11</v>
      </c>
      <c r="H586" s="65"/>
      <c r="I586" s="42"/>
      <c r="J586" s="43"/>
      <c r="K586" s="43"/>
      <c r="L586" s="43">
        <f>C586</f>
        <v>15.810000000000002</v>
      </c>
      <c r="M586" s="43"/>
      <c r="N586" s="43"/>
      <c r="O586" s="43"/>
      <c r="P586" s="43"/>
      <c r="Q586" s="43"/>
    </row>
    <row r="587" spans="1:17" ht="14.4" x14ac:dyDescent="0.25">
      <c r="A587" s="150"/>
      <c r="B587" s="15"/>
      <c r="C587" s="34">
        <f t="shared" si="514"/>
        <v>12.12</v>
      </c>
      <c r="D587" s="131">
        <v>3.03</v>
      </c>
      <c r="E587" s="17">
        <v>4</v>
      </c>
      <c r="F587" s="33">
        <v>1</v>
      </c>
      <c r="G587" s="45"/>
      <c r="H587" s="65">
        <f t="shared" ref="H587" si="523">C587</f>
        <v>12.12</v>
      </c>
      <c r="I587" s="42">
        <f t="shared" ref="I587" si="524">H587-J587</f>
        <v>12.12</v>
      </c>
      <c r="J587" s="43"/>
      <c r="K587" s="43"/>
      <c r="L587" s="43">
        <f t="shared" ref="L587" si="525">I587</f>
        <v>12.12</v>
      </c>
      <c r="M587" s="43"/>
      <c r="N587" s="43"/>
      <c r="O587" s="43"/>
      <c r="P587" s="43"/>
      <c r="Q587" s="43"/>
    </row>
    <row r="588" spans="1:17" ht="14.4" x14ac:dyDescent="0.25">
      <c r="A588" s="219">
        <v>34.4</v>
      </c>
      <c r="B588" s="220" t="s">
        <v>297</v>
      </c>
      <c r="C588" s="34">
        <f t="shared" si="514"/>
        <v>30.742000000000008</v>
      </c>
      <c r="D588" s="131">
        <f>25.1-(5.26+5.18)</f>
        <v>14.660000000000002</v>
      </c>
      <c r="E588" s="17">
        <v>2.7</v>
      </c>
      <c r="F588" s="33">
        <v>1</v>
      </c>
      <c r="G588" s="45">
        <v>8.84</v>
      </c>
      <c r="H588" s="65"/>
      <c r="I588" s="42"/>
      <c r="J588" s="43"/>
      <c r="K588" s="43"/>
      <c r="L588" s="43">
        <f>C588</f>
        <v>30.742000000000008</v>
      </c>
      <c r="M588" s="43"/>
      <c r="N588" s="43"/>
      <c r="O588" s="43"/>
      <c r="P588" s="43"/>
      <c r="Q588" s="43"/>
    </row>
    <row r="589" spans="1:17" ht="14.4" x14ac:dyDescent="0.25">
      <c r="A589" s="150"/>
      <c r="B589" s="157"/>
      <c r="C589" s="34">
        <f t="shared" si="514"/>
        <v>13.986000000000001</v>
      </c>
      <c r="D589" s="131">
        <v>5.18</v>
      </c>
      <c r="E589" s="17">
        <v>2.7</v>
      </c>
      <c r="F589" s="33">
        <v>1</v>
      </c>
      <c r="G589" s="45"/>
      <c r="H589" s="65">
        <f t="shared" ref="H589" si="526">C589</f>
        <v>13.986000000000001</v>
      </c>
      <c r="I589" s="42">
        <f t="shared" ref="I589" si="527">H589-J589</f>
        <v>13.986000000000001</v>
      </c>
      <c r="J589" s="43"/>
      <c r="K589" s="43"/>
      <c r="L589" s="43">
        <f t="shared" ref="L589" si="528">I589</f>
        <v>13.986000000000001</v>
      </c>
      <c r="M589" s="43"/>
      <c r="N589" s="43"/>
      <c r="O589" s="43"/>
      <c r="P589" s="43"/>
      <c r="Q589" s="43"/>
    </row>
    <row r="590" spans="1:17" ht="14.4" x14ac:dyDescent="0.25">
      <c r="A590" s="150">
        <v>1.1000000000000001</v>
      </c>
      <c r="B590" s="15" t="s">
        <v>229</v>
      </c>
      <c r="C590" s="34">
        <f t="shared" si="514"/>
        <v>16.160000000000004</v>
      </c>
      <c r="D590" s="131">
        <f>7.44-3.4</f>
        <v>4.0400000000000009</v>
      </c>
      <c r="E590" s="17">
        <v>4</v>
      </c>
      <c r="F590" s="33">
        <v>1</v>
      </c>
      <c r="G590" s="45"/>
      <c r="H590" s="65"/>
      <c r="I590" s="42"/>
      <c r="J590" s="43"/>
      <c r="K590" s="43"/>
      <c r="L590" s="43">
        <f>C590</f>
        <v>16.160000000000004</v>
      </c>
      <c r="M590" s="43"/>
      <c r="N590" s="43"/>
      <c r="O590" s="43"/>
      <c r="P590" s="43"/>
      <c r="Q590" s="43"/>
    </row>
    <row r="591" spans="1:17" ht="14.4" x14ac:dyDescent="0.25">
      <c r="A591" s="150"/>
      <c r="B591" s="15"/>
      <c r="C591" s="34">
        <f t="shared" si="514"/>
        <v>13.6</v>
      </c>
      <c r="D591" s="131">
        <v>3.4</v>
      </c>
      <c r="E591" s="17">
        <v>4</v>
      </c>
      <c r="F591" s="33">
        <v>1</v>
      </c>
      <c r="G591" s="45"/>
      <c r="H591" s="65">
        <f t="shared" ref="H591" si="529">C591</f>
        <v>13.6</v>
      </c>
      <c r="I591" s="42">
        <f t="shared" ref="I591" si="530">H591-J591</f>
        <v>13.6</v>
      </c>
      <c r="J591" s="43"/>
      <c r="K591" s="43"/>
      <c r="L591" s="43">
        <f t="shared" ref="L591" si="531">I591</f>
        <v>13.6</v>
      </c>
      <c r="M591" s="43"/>
      <c r="N591" s="43"/>
      <c r="O591" s="43"/>
      <c r="P591" s="43"/>
      <c r="Q591" s="43"/>
    </row>
    <row r="592" spans="1:17" ht="14.4" x14ac:dyDescent="0.25">
      <c r="A592" s="219">
        <v>28.2</v>
      </c>
      <c r="B592" s="220" t="s">
        <v>168</v>
      </c>
      <c r="C592" s="34">
        <f t="shared" si="514"/>
        <v>96.876000000000019</v>
      </c>
      <c r="D592" s="131">
        <f>37.53-(1.65)</f>
        <v>35.880000000000003</v>
      </c>
      <c r="E592" s="17">
        <v>2.7</v>
      </c>
      <c r="F592" s="33">
        <v>1</v>
      </c>
      <c r="G592" s="45"/>
      <c r="H592" s="65"/>
      <c r="I592" s="42"/>
      <c r="J592" s="43"/>
      <c r="K592" s="43"/>
      <c r="L592" s="43">
        <f>C592</f>
        <v>96.876000000000019</v>
      </c>
      <c r="M592" s="43"/>
      <c r="N592" s="43"/>
      <c r="O592" s="43"/>
      <c r="P592" s="43"/>
      <c r="Q592" s="43"/>
    </row>
    <row r="593" spans="1:17" ht="14.4" x14ac:dyDescent="0.25">
      <c r="A593" s="219">
        <v>34.229999999999997</v>
      </c>
      <c r="B593" s="220" t="s">
        <v>168</v>
      </c>
      <c r="C593" s="34">
        <f t="shared" si="514"/>
        <v>44.751000000000005</v>
      </c>
      <c r="D593" s="131">
        <f>31.18-(4.1+8.25)</f>
        <v>18.829999999999998</v>
      </c>
      <c r="E593" s="17">
        <v>2.7</v>
      </c>
      <c r="F593" s="33">
        <v>1</v>
      </c>
      <c r="G593" s="45">
        <v>6.09</v>
      </c>
      <c r="H593" s="65"/>
      <c r="I593" s="42"/>
      <c r="J593" s="43"/>
      <c r="K593" s="43"/>
      <c r="L593" s="43">
        <f>C593</f>
        <v>44.751000000000005</v>
      </c>
      <c r="M593" s="43"/>
      <c r="N593" s="43"/>
      <c r="O593" s="43"/>
      <c r="P593" s="43"/>
      <c r="Q593" s="43"/>
    </row>
    <row r="594" spans="1:17" ht="14.4" x14ac:dyDescent="0.25">
      <c r="A594" s="150"/>
      <c r="B594" s="157"/>
      <c r="C594" s="34">
        <f t="shared" si="514"/>
        <v>22.275000000000002</v>
      </c>
      <c r="D594" s="131">
        <v>8.25</v>
      </c>
      <c r="E594" s="17">
        <v>2.7</v>
      </c>
      <c r="F594" s="33">
        <v>1</v>
      </c>
      <c r="G594" s="45"/>
      <c r="H594" s="65">
        <f t="shared" ref="H594" si="532">C594</f>
        <v>22.275000000000002</v>
      </c>
      <c r="I594" s="42">
        <f t="shared" ref="I594" si="533">H594-J594</f>
        <v>22.275000000000002</v>
      </c>
      <c r="J594" s="43"/>
      <c r="K594" s="43"/>
      <c r="L594" s="43">
        <f t="shared" ref="L594" si="534">I594</f>
        <v>22.275000000000002</v>
      </c>
      <c r="M594" s="43"/>
      <c r="N594" s="43"/>
      <c r="O594" s="43"/>
      <c r="P594" s="43"/>
      <c r="Q594" s="43"/>
    </row>
    <row r="595" spans="1:17" ht="14.4" x14ac:dyDescent="0.25">
      <c r="A595" s="150">
        <v>11.48</v>
      </c>
      <c r="B595" s="15" t="s">
        <v>253</v>
      </c>
      <c r="C595" s="34">
        <f t="shared" si="514"/>
        <v>33.668999999999997</v>
      </c>
      <c r="D595" s="131">
        <f>14.78-2.31</f>
        <v>12.469999999999999</v>
      </c>
      <c r="E595" s="17">
        <v>2.7</v>
      </c>
      <c r="F595" s="33">
        <v>1</v>
      </c>
      <c r="G595" s="45"/>
      <c r="H595" s="65"/>
      <c r="I595" s="42"/>
      <c r="J595" s="43"/>
      <c r="K595" s="43"/>
      <c r="L595" s="43">
        <f>C595</f>
        <v>33.668999999999997</v>
      </c>
      <c r="M595" s="43"/>
      <c r="N595" s="43"/>
      <c r="O595" s="43"/>
      <c r="P595" s="43"/>
      <c r="Q595" s="43"/>
    </row>
    <row r="596" spans="1:17" ht="14.4" x14ac:dyDescent="0.25">
      <c r="A596" s="150"/>
      <c r="B596" s="15"/>
      <c r="C596" s="34">
        <f t="shared" si="514"/>
        <v>6.237000000000001</v>
      </c>
      <c r="D596" s="131">
        <v>2.31</v>
      </c>
      <c r="E596" s="17">
        <v>2.7</v>
      </c>
      <c r="F596" s="33">
        <v>1</v>
      </c>
      <c r="G596" s="45"/>
      <c r="H596" s="65">
        <f t="shared" ref="H596" si="535">C596</f>
        <v>6.237000000000001</v>
      </c>
      <c r="I596" s="42">
        <f t="shared" ref="I596" si="536">H596-J596</f>
        <v>6.237000000000001</v>
      </c>
      <c r="J596" s="43"/>
      <c r="K596" s="43"/>
      <c r="L596" s="43">
        <f t="shared" ref="L596" si="537">I596</f>
        <v>6.237000000000001</v>
      </c>
      <c r="M596" s="43"/>
      <c r="N596" s="43"/>
      <c r="O596" s="43"/>
      <c r="P596" s="43"/>
      <c r="Q596" s="43"/>
    </row>
    <row r="597" spans="1:17" ht="14.4" x14ac:dyDescent="0.25">
      <c r="A597" s="150">
        <v>2.92</v>
      </c>
      <c r="B597" s="15" t="s">
        <v>298</v>
      </c>
      <c r="C597" s="34">
        <f t="shared" si="514"/>
        <v>26.286999999999999</v>
      </c>
      <c r="D597" s="131">
        <f>7.09-2.24</f>
        <v>4.8499999999999996</v>
      </c>
      <c r="E597" s="17">
        <v>2.71</v>
      </c>
      <c r="F597" s="33">
        <v>2</v>
      </c>
      <c r="G597" s="45"/>
      <c r="H597" s="65"/>
      <c r="I597" s="42"/>
      <c r="J597" s="43"/>
      <c r="K597" s="43"/>
      <c r="L597" s="43"/>
      <c r="M597" s="43"/>
      <c r="N597" s="43"/>
      <c r="O597" s="43"/>
      <c r="P597" s="43">
        <f>C597</f>
        <v>26.286999999999999</v>
      </c>
      <c r="Q597" s="43"/>
    </row>
    <row r="598" spans="1:17" ht="14.4" x14ac:dyDescent="0.25">
      <c r="A598" s="150"/>
      <c r="B598" s="15"/>
      <c r="C598" s="34">
        <f t="shared" si="514"/>
        <v>6.0704000000000002</v>
      </c>
      <c r="D598" s="131">
        <v>2.2400000000000002</v>
      </c>
      <c r="E598" s="17">
        <v>2.71</v>
      </c>
      <c r="F598" s="33">
        <v>1</v>
      </c>
      <c r="G598" s="45"/>
      <c r="H598" s="65">
        <f t="shared" ref="H598" si="538">C598</f>
        <v>6.0704000000000002</v>
      </c>
      <c r="I598" s="42"/>
      <c r="J598" s="43">
        <f t="shared" ref="J598" si="539">H598-I598</f>
        <v>6.0704000000000002</v>
      </c>
      <c r="K598" s="43"/>
      <c r="L598" s="43"/>
      <c r="M598" s="43"/>
      <c r="N598" s="43"/>
      <c r="O598" s="43"/>
      <c r="P598" s="43">
        <f>J598</f>
        <v>6.0704000000000002</v>
      </c>
      <c r="Q598" s="43"/>
    </row>
    <row r="599" spans="1:17" ht="14.4" x14ac:dyDescent="0.25">
      <c r="A599" s="150">
        <v>11.62</v>
      </c>
      <c r="B599" s="15" t="s">
        <v>254</v>
      </c>
      <c r="C599" s="34">
        <f t="shared" si="514"/>
        <v>33.588000000000001</v>
      </c>
      <c r="D599" s="131">
        <f>14.78-2.34</f>
        <v>12.44</v>
      </c>
      <c r="E599" s="17">
        <v>2.7</v>
      </c>
      <c r="F599" s="33">
        <v>1</v>
      </c>
      <c r="G599" s="45"/>
      <c r="H599" s="65"/>
      <c r="I599" s="42"/>
      <c r="J599" s="43"/>
      <c r="K599" s="43"/>
      <c r="L599" s="43">
        <f>C599</f>
        <v>33.588000000000001</v>
      </c>
      <c r="M599" s="43"/>
      <c r="N599" s="43"/>
      <c r="O599" s="43"/>
      <c r="P599" s="43"/>
      <c r="Q599" s="43"/>
    </row>
    <row r="600" spans="1:17" ht="14.4" x14ac:dyDescent="0.25">
      <c r="A600" s="150"/>
      <c r="B600" s="15"/>
      <c r="C600" s="34">
        <f t="shared" si="514"/>
        <v>6.3179999999999996</v>
      </c>
      <c r="D600" s="131">
        <v>2.34</v>
      </c>
      <c r="E600" s="17">
        <v>2.7</v>
      </c>
      <c r="F600" s="33">
        <v>1</v>
      </c>
      <c r="G600" s="45"/>
      <c r="H600" s="65">
        <f t="shared" ref="H600" si="540">C600</f>
        <v>6.3179999999999996</v>
      </c>
      <c r="I600" s="42">
        <f t="shared" ref="I600" si="541">H600-J600</f>
        <v>6.3179999999999996</v>
      </c>
      <c r="J600" s="43"/>
      <c r="K600" s="43"/>
      <c r="L600" s="43">
        <f t="shared" ref="L600" si="542">I600</f>
        <v>6.3179999999999996</v>
      </c>
      <c r="M600" s="43"/>
      <c r="N600" s="43"/>
      <c r="O600" s="43"/>
      <c r="P600" s="43"/>
      <c r="Q600" s="43"/>
    </row>
    <row r="601" spans="1:17" ht="14.4" x14ac:dyDescent="0.25">
      <c r="A601" s="150">
        <v>4.49</v>
      </c>
      <c r="B601" s="15" t="s">
        <v>299</v>
      </c>
      <c r="C601" s="34">
        <f t="shared" si="514"/>
        <v>22.923000000000002</v>
      </c>
      <c r="D601" s="131">
        <f>8.49</f>
        <v>8.49</v>
      </c>
      <c r="E601" s="17">
        <v>2.7</v>
      </c>
      <c r="F601" s="33">
        <v>1</v>
      </c>
      <c r="G601" s="45"/>
      <c r="H601" s="65"/>
      <c r="I601" s="42"/>
      <c r="J601" s="43"/>
      <c r="K601" s="43"/>
      <c r="L601" s="43">
        <f>C601</f>
        <v>22.923000000000002</v>
      </c>
      <c r="M601" s="43"/>
      <c r="N601" s="43"/>
      <c r="O601" s="43"/>
      <c r="P601" s="43"/>
      <c r="Q601" s="43"/>
    </row>
    <row r="602" spans="1:17" ht="14.4" x14ac:dyDescent="0.25">
      <c r="A602" s="150">
        <v>8.07</v>
      </c>
      <c r="B602" s="15" t="s">
        <v>300</v>
      </c>
      <c r="C602" s="34">
        <f t="shared" si="514"/>
        <v>34.938000000000002</v>
      </c>
      <c r="D602" s="131">
        <f>14.71-1.77</f>
        <v>12.940000000000001</v>
      </c>
      <c r="E602" s="17">
        <v>2.7</v>
      </c>
      <c r="F602" s="33">
        <v>1</v>
      </c>
      <c r="G602" s="45"/>
      <c r="H602" s="65"/>
      <c r="I602" s="42"/>
      <c r="J602" s="43"/>
      <c r="K602" s="43"/>
      <c r="L602" s="43">
        <f>C602</f>
        <v>34.938000000000002</v>
      </c>
      <c r="M602" s="43"/>
      <c r="N602" s="43"/>
      <c r="O602" s="43"/>
      <c r="P602" s="43"/>
      <c r="Q602" s="43"/>
    </row>
    <row r="603" spans="1:17" ht="14.4" x14ac:dyDescent="0.25">
      <c r="A603" s="150"/>
      <c r="B603" s="15"/>
      <c r="C603" s="34">
        <f t="shared" si="514"/>
        <v>4.7790000000000008</v>
      </c>
      <c r="D603" s="131">
        <v>1.77</v>
      </c>
      <c r="E603" s="17">
        <v>2.7</v>
      </c>
      <c r="F603" s="33">
        <v>1</v>
      </c>
      <c r="G603" s="45"/>
      <c r="H603" s="65">
        <f t="shared" ref="H603" si="543">C603</f>
        <v>4.7790000000000008</v>
      </c>
      <c r="I603" s="42">
        <f t="shared" ref="I603" si="544">H603-J603</f>
        <v>4.7790000000000008</v>
      </c>
      <c r="J603" s="43"/>
      <c r="K603" s="43"/>
      <c r="L603" s="43">
        <f t="shared" ref="L603" si="545">I603</f>
        <v>4.7790000000000008</v>
      </c>
      <c r="M603" s="43"/>
      <c r="N603" s="43"/>
      <c r="O603" s="43"/>
      <c r="P603" s="43"/>
      <c r="Q603" s="43"/>
    </row>
    <row r="604" spans="1:17" ht="14.4" x14ac:dyDescent="0.25">
      <c r="A604" s="150">
        <v>14.21</v>
      </c>
      <c r="B604" s="15" t="s">
        <v>301</v>
      </c>
      <c r="C604" s="34">
        <f t="shared" si="514"/>
        <v>34.695</v>
      </c>
      <c r="D604" s="131">
        <f>15.69-2.84</f>
        <v>12.85</v>
      </c>
      <c r="E604" s="17">
        <v>2.7</v>
      </c>
      <c r="F604" s="33">
        <v>1</v>
      </c>
      <c r="G604" s="45"/>
      <c r="H604" s="65"/>
      <c r="I604" s="42"/>
      <c r="J604" s="43"/>
      <c r="K604" s="43"/>
      <c r="L604" s="43">
        <f>C604</f>
        <v>34.695</v>
      </c>
      <c r="M604" s="43"/>
      <c r="N604" s="43"/>
      <c r="O604" s="43"/>
      <c r="P604" s="43"/>
      <c r="Q604" s="43"/>
    </row>
    <row r="605" spans="1:17" ht="14.4" x14ac:dyDescent="0.25">
      <c r="A605" s="150"/>
      <c r="B605" s="15"/>
      <c r="C605" s="34">
        <f t="shared" si="514"/>
        <v>7.6680000000000001</v>
      </c>
      <c r="D605" s="131">
        <v>2.84</v>
      </c>
      <c r="E605" s="17">
        <v>2.7</v>
      </c>
      <c r="F605" s="33">
        <v>1</v>
      </c>
      <c r="G605" s="45"/>
      <c r="H605" s="65">
        <f t="shared" ref="H605:H671" si="546">C605</f>
        <v>7.6680000000000001</v>
      </c>
      <c r="I605" s="42">
        <f t="shared" ref="I605:I671" si="547">H605-J605</f>
        <v>7.6680000000000001</v>
      </c>
      <c r="J605" s="43"/>
      <c r="K605" s="43"/>
      <c r="L605" s="43">
        <f t="shared" ref="L605:L671" si="548">I605</f>
        <v>7.6680000000000001</v>
      </c>
      <c r="M605" s="43"/>
      <c r="N605" s="43"/>
      <c r="O605" s="43"/>
      <c r="P605" s="43"/>
      <c r="Q605" s="43"/>
    </row>
    <row r="606" spans="1:17" ht="14.4" x14ac:dyDescent="0.25">
      <c r="A606" s="150">
        <v>16.25</v>
      </c>
      <c r="B606" s="15" t="s">
        <v>302</v>
      </c>
      <c r="C606" s="34">
        <f t="shared" si="514"/>
        <v>37.719000000000001</v>
      </c>
      <c r="D606" s="131">
        <f>17.43-3.46</f>
        <v>13.969999999999999</v>
      </c>
      <c r="E606" s="17">
        <v>2.7</v>
      </c>
      <c r="F606" s="33">
        <v>1</v>
      </c>
      <c r="G606" s="45"/>
      <c r="H606" s="65"/>
      <c r="I606" s="42"/>
      <c r="J606" s="43"/>
      <c r="K606" s="43"/>
      <c r="L606" s="43">
        <f>C606</f>
        <v>37.719000000000001</v>
      </c>
      <c r="M606" s="43"/>
      <c r="N606" s="43"/>
      <c r="O606" s="43"/>
      <c r="P606" s="43"/>
      <c r="Q606" s="43"/>
    </row>
    <row r="607" spans="1:17" ht="14.4" x14ac:dyDescent="0.25">
      <c r="A607" s="150"/>
      <c r="B607" s="15"/>
      <c r="C607" s="34">
        <f t="shared" si="514"/>
        <v>9.3420000000000005</v>
      </c>
      <c r="D607" s="131">
        <v>3.46</v>
      </c>
      <c r="E607" s="17">
        <v>2.7</v>
      </c>
      <c r="F607" s="33">
        <v>1</v>
      </c>
      <c r="G607" s="45"/>
      <c r="H607" s="65">
        <f t="shared" si="546"/>
        <v>9.3420000000000005</v>
      </c>
      <c r="I607" s="42">
        <f t="shared" si="547"/>
        <v>9.3420000000000005</v>
      </c>
      <c r="J607" s="43"/>
      <c r="K607" s="43"/>
      <c r="L607" s="43">
        <f t="shared" si="548"/>
        <v>9.3420000000000005</v>
      </c>
      <c r="M607" s="43"/>
      <c r="N607" s="43"/>
      <c r="O607" s="43"/>
      <c r="P607" s="43"/>
      <c r="Q607" s="43"/>
    </row>
    <row r="608" spans="1:17" ht="14.4" x14ac:dyDescent="0.25">
      <c r="A608" s="150">
        <v>2.4</v>
      </c>
      <c r="B608" s="15" t="s">
        <v>303</v>
      </c>
      <c r="C608" s="34">
        <f t="shared" si="514"/>
        <v>13.956499999999998</v>
      </c>
      <c r="D608" s="131">
        <f>6.35-1.2</f>
        <v>5.1499999999999995</v>
      </c>
      <c r="E608" s="17">
        <v>2.71</v>
      </c>
      <c r="F608" s="33">
        <v>1</v>
      </c>
      <c r="G608" s="45"/>
      <c r="H608" s="65"/>
      <c r="I608" s="42"/>
      <c r="J608" s="43"/>
      <c r="K608" s="43"/>
      <c r="L608" s="43"/>
      <c r="M608" s="43"/>
      <c r="N608" s="43"/>
      <c r="O608" s="43"/>
      <c r="P608" s="43">
        <f>C608</f>
        <v>13.956499999999998</v>
      </c>
      <c r="Q608" s="43"/>
    </row>
    <row r="609" spans="1:17" ht="14.4" x14ac:dyDescent="0.25">
      <c r="A609" s="150"/>
      <c r="B609" s="15"/>
      <c r="C609" s="34">
        <f t="shared" si="514"/>
        <v>3.2519999999999998</v>
      </c>
      <c r="D609" s="131">
        <v>1.2</v>
      </c>
      <c r="E609" s="17">
        <v>2.71</v>
      </c>
      <c r="F609" s="33">
        <v>1</v>
      </c>
      <c r="G609" s="45"/>
      <c r="H609" s="65">
        <f t="shared" ref="H609" si="549">C609</f>
        <v>3.2519999999999998</v>
      </c>
      <c r="I609" s="42"/>
      <c r="J609" s="43">
        <f t="shared" ref="J609" si="550">H609-I609</f>
        <v>3.2519999999999998</v>
      </c>
      <c r="K609" s="43"/>
      <c r="L609" s="43"/>
      <c r="M609" s="43"/>
      <c r="N609" s="43"/>
      <c r="O609" s="43"/>
      <c r="P609" s="43">
        <f>J609</f>
        <v>3.2519999999999998</v>
      </c>
      <c r="Q609" s="43"/>
    </row>
    <row r="610" spans="1:17" ht="14.4" x14ac:dyDescent="0.25">
      <c r="A610" s="150">
        <v>4.91</v>
      </c>
      <c r="B610" s="15" t="s">
        <v>158</v>
      </c>
      <c r="C610" s="34">
        <f t="shared" si="514"/>
        <v>24.84</v>
      </c>
      <c r="D610" s="131">
        <v>9.1999999999999993</v>
      </c>
      <c r="E610" s="17">
        <v>2.7</v>
      </c>
      <c r="F610" s="33">
        <v>1</v>
      </c>
      <c r="G610" s="45"/>
      <c r="H610" s="65"/>
      <c r="I610" s="42"/>
      <c r="J610" s="43"/>
      <c r="K610" s="43"/>
      <c r="L610" s="43">
        <f>C610</f>
        <v>24.84</v>
      </c>
      <c r="M610" s="43"/>
      <c r="N610" s="43"/>
      <c r="O610" s="43"/>
      <c r="P610" s="43"/>
      <c r="Q610" s="43"/>
    </row>
    <row r="611" spans="1:17" ht="14.4" x14ac:dyDescent="0.25">
      <c r="A611" s="150">
        <v>4.6100000000000003</v>
      </c>
      <c r="B611" s="15" t="s">
        <v>258</v>
      </c>
      <c r="C611" s="34">
        <f t="shared" si="514"/>
        <v>17.010000000000002</v>
      </c>
      <c r="D611" s="131">
        <f>8.6-2.3</f>
        <v>6.3</v>
      </c>
      <c r="E611" s="17">
        <v>2.7</v>
      </c>
      <c r="F611" s="33">
        <v>1</v>
      </c>
      <c r="G611" s="45"/>
      <c r="H611" s="65"/>
      <c r="I611" s="42"/>
      <c r="J611" s="43"/>
      <c r="K611" s="43"/>
      <c r="L611" s="43">
        <f>C611</f>
        <v>17.010000000000002</v>
      </c>
      <c r="M611" s="43"/>
      <c r="N611" s="43"/>
      <c r="O611" s="43"/>
      <c r="P611" s="43"/>
      <c r="Q611" s="43"/>
    </row>
    <row r="612" spans="1:17" ht="14.4" x14ac:dyDescent="0.25">
      <c r="A612" s="150"/>
      <c r="B612" s="15"/>
      <c r="C612" s="34">
        <f t="shared" si="514"/>
        <v>6.21</v>
      </c>
      <c r="D612" s="131">
        <v>2.2999999999999998</v>
      </c>
      <c r="E612" s="17">
        <v>2.7</v>
      </c>
      <c r="F612" s="33">
        <v>1</v>
      </c>
      <c r="G612" s="45"/>
      <c r="H612" s="65">
        <f t="shared" ref="H612" si="551">C612</f>
        <v>6.21</v>
      </c>
      <c r="I612" s="42">
        <f t="shared" ref="I612" si="552">H612-J612</f>
        <v>6.21</v>
      </c>
      <c r="J612" s="43"/>
      <c r="K612" s="43"/>
      <c r="L612" s="43">
        <f t="shared" ref="L612" si="553">I612</f>
        <v>6.21</v>
      </c>
      <c r="M612" s="43"/>
      <c r="N612" s="43"/>
      <c r="O612" s="43"/>
      <c r="P612" s="43"/>
      <c r="Q612" s="43"/>
    </row>
    <row r="613" spans="1:17" ht="14.4" x14ac:dyDescent="0.25">
      <c r="A613" s="150">
        <v>22.38</v>
      </c>
      <c r="B613" s="15" t="s">
        <v>304</v>
      </c>
      <c r="C613" s="34">
        <f t="shared" si="514"/>
        <v>22.626000000000005</v>
      </c>
      <c r="D613" s="131">
        <f>(22.47-7.63)-3.86</f>
        <v>10.98</v>
      </c>
      <c r="E613" s="17">
        <v>2.7</v>
      </c>
      <c r="F613" s="33">
        <v>1</v>
      </c>
      <c r="G613" s="45">
        <v>7.02</v>
      </c>
      <c r="H613" s="65"/>
      <c r="I613" s="42"/>
      <c r="J613" s="43"/>
      <c r="K613" s="43"/>
      <c r="L613" s="43">
        <f>C613</f>
        <v>22.626000000000005</v>
      </c>
      <c r="M613" s="43"/>
      <c r="N613" s="43"/>
      <c r="O613" s="43"/>
      <c r="P613" s="43"/>
      <c r="Q613" s="43"/>
    </row>
    <row r="614" spans="1:17" ht="14.4" x14ac:dyDescent="0.25">
      <c r="A614" s="150"/>
      <c r="B614" s="15"/>
      <c r="C614" s="34">
        <f t="shared" si="514"/>
        <v>20.601000000000003</v>
      </c>
      <c r="D614" s="131">
        <v>7.63</v>
      </c>
      <c r="E614" s="17">
        <v>2.7</v>
      </c>
      <c r="F614" s="33">
        <v>1</v>
      </c>
      <c r="G614" s="45"/>
      <c r="H614" s="65">
        <f t="shared" ref="H614" si="554">C614</f>
        <v>20.601000000000003</v>
      </c>
      <c r="I614" s="42">
        <f t="shared" ref="I614" si="555">H614-J614</f>
        <v>20.601000000000003</v>
      </c>
      <c r="J614" s="43"/>
      <c r="K614" s="43"/>
      <c r="L614" s="43">
        <f t="shared" ref="L614" si="556">I614</f>
        <v>20.601000000000003</v>
      </c>
      <c r="M614" s="43"/>
      <c r="N614" s="43"/>
      <c r="O614" s="43"/>
      <c r="P614" s="43"/>
      <c r="Q614" s="43"/>
    </row>
    <row r="615" spans="1:17" ht="14.4" x14ac:dyDescent="0.25">
      <c r="A615" s="150"/>
      <c r="B615" s="15"/>
      <c r="C615" s="34">
        <f t="shared" si="514"/>
        <v>10.422000000000001</v>
      </c>
      <c r="D615" s="131">
        <v>3.86</v>
      </c>
      <c r="E615" s="17">
        <v>2.7</v>
      </c>
      <c r="F615" s="33">
        <v>1</v>
      </c>
      <c r="G615" s="45"/>
      <c r="H615" s="65"/>
      <c r="I615" s="42"/>
      <c r="J615" s="43"/>
      <c r="K615" s="43">
        <f>C615</f>
        <v>10.422000000000001</v>
      </c>
      <c r="L615" s="43"/>
      <c r="M615" s="43"/>
      <c r="N615" s="43"/>
      <c r="O615" s="43"/>
      <c r="P615" s="43"/>
      <c r="Q615" s="43"/>
    </row>
    <row r="616" spans="1:17" ht="14.4" x14ac:dyDescent="0.25">
      <c r="A616" s="150">
        <v>4.46</v>
      </c>
      <c r="B616" s="15" t="s">
        <v>213</v>
      </c>
      <c r="C616" s="34">
        <f t="shared" si="514"/>
        <v>15.907699999999998</v>
      </c>
      <c r="D616" s="131">
        <f>8.85-2.98</f>
        <v>5.8699999999999992</v>
      </c>
      <c r="E616" s="17">
        <v>2.71</v>
      </c>
      <c r="F616" s="33">
        <v>1</v>
      </c>
      <c r="G616" s="45"/>
      <c r="H616" s="65"/>
      <c r="I616" s="42"/>
      <c r="J616" s="43"/>
      <c r="K616" s="43"/>
      <c r="L616" s="43"/>
      <c r="M616" s="43"/>
      <c r="N616" s="43"/>
      <c r="O616" s="43"/>
      <c r="P616" s="43">
        <f>C616</f>
        <v>15.907699999999998</v>
      </c>
      <c r="Q616" s="43"/>
    </row>
    <row r="617" spans="1:17" ht="14.4" x14ac:dyDescent="0.25">
      <c r="A617" s="150"/>
      <c r="B617" s="15"/>
      <c r="C617" s="34">
        <f t="shared" si="514"/>
        <v>8.0757999999999992</v>
      </c>
      <c r="D617" s="131">
        <v>2.98</v>
      </c>
      <c r="E617" s="17">
        <v>2.71</v>
      </c>
      <c r="F617" s="33">
        <v>1</v>
      </c>
      <c r="G617" s="45"/>
      <c r="H617" s="65">
        <f t="shared" ref="H617" si="557">C617</f>
        <v>8.0757999999999992</v>
      </c>
      <c r="I617" s="42"/>
      <c r="J617" s="43">
        <f t="shared" ref="J617" si="558">H617-I617</f>
        <v>8.0757999999999992</v>
      </c>
      <c r="K617" s="43"/>
      <c r="L617" s="43"/>
      <c r="M617" s="43"/>
      <c r="N617" s="43"/>
      <c r="O617" s="43"/>
      <c r="P617" s="43">
        <f>J617</f>
        <v>8.0757999999999992</v>
      </c>
      <c r="Q617" s="43"/>
    </row>
    <row r="618" spans="1:17" ht="14.4" x14ac:dyDescent="0.25">
      <c r="A618" s="150">
        <v>4.53</v>
      </c>
      <c r="B618" s="15" t="s">
        <v>213</v>
      </c>
      <c r="C618" s="34">
        <f t="shared" si="514"/>
        <v>32.682599999999994</v>
      </c>
      <c r="D618" s="131">
        <f>8.86-2.83</f>
        <v>6.0299999999999994</v>
      </c>
      <c r="E618" s="17">
        <v>2.71</v>
      </c>
      <c r="F618" s="33">
        <v>2</v>
      </c>
      <c r="G618" s="45"/>
      <c r="H618" s="65"/>
      <c r="I618" s="42"/>
      <c r="J618" s="43"/>
      <c r="K618" s="43"/>
      <c r="L618" s="43"/>
      <c r="M618" s="43"/>
      <c r="N618" s="43"/>
      <c r="O618" s="43"/>
      <c r="P618" s="43">
        <f>C618</f>
        <v>32.682599999999994</v>
      </c>
      <c r="Q618" s="43"/>
    </row>
    <row r="619" spans="1:17" ht="14.4" x14ac:dyDescent="0.25">
      <c r="A619" s="150"/>
      <c r="B619" s="15"/>
      <c r="C619" s="34">
        <f t="shared" si="514"/>
        <v>15.3386</v>
      </c>
      <c r="D619" s="131">
        <v>2.83</v>
      </c>
      <c r="E619" s="17">
        <v>2.71</v>
      </c>
      <c r="F619" s="33">
        <v>2</v>
      </c>
      <c r="G619" s="45"/>
      <c r="H619" s="65">
        <f t="shared" ref="H619" si="559">C619</f>
        <v>15.3386</v>
      </c>
      <c r="I619" s="42"/>
      <c r="J619" s="43">
        <f t="shared" ref="J619" si="560">H619-I619</f>
        <v>15.3386</v>
      </c>
      <c r="K619" s="43"/>
      <c r="L619" s="43"/>
      <c r="M619" s="43"/>
      <c r="N619" s="43"/>
      <c r="O619" s="43"/>
      <c r="P619" s="43">
        <f>J619</f>
        <v>15.3386</v>
      </c>
      <c r="Q619" s="43"/>
    </row>
    <row r="620" spans="1:17" ht="14.4" x14ac:dyDescent="0.25">
      <c r="A620" s="150">
        <v>23.52</v>
      </c>
      <c r="B620" s="15" t="s">
        <v>305</v>
      </c>
      <c r="C620" s="34">
        <f t="shared" si="514"/>
        <v>59.67</v>
      </c>
      <c r="D620" s="131">
        <f>(22.98-2.2)-7.78</f>
        <v>13</v>
      </c>
      <c r="E620" s="17">
        <v>2.7</v>
      </c>
      <c r="F620" s="33">
        <v>2</v>
      </c>
      <c r="G620" s="45">
        <v>10.53</v>
      </c>
      <c r="H620" s="65"/>
      <c r="I620" s="42"/>
      <c r="J620" s="43"/>
      <c r="K620" s="43"/>
      <c r="L620" s="43">
        <f>C620</f>
        <v>59.67</v>
      </c>
      <c r="M620" s="43"/>
      <c r="N620" s="43"/>
      <c r="O620" s="43"/>
      <c r="P620" s="43"/>
      <c r="Q620" s="43"/>
    </row>
    <row r="621" spans="1:17" ht="14.4" x14ac:dyDescent="0.25">
      <c r="A621" s="150"/>
      <c r="B621" s="15"/>
      <c r="C621" s="34">
        <f t="shared" si="514"/>
        <v>11.880000000000003</v>
      </c>
      <c r="D621" s="131">
        <v>2.2000000000000002</v>
      </c>
      <c r="E621" s="17">
        <v>2.7</v>
      </c>
      <c r="F621" s="33">
        <v>2</v>
      </c>
      <c r="G621" s="45"/>
      <c r="H621" s="65">
        <f t="shared" ref="H621" si="561">C621</f>
        <v>11.880000000000003</v>
      </c>
      <c r="I621" s="42">
        <f t="shared" ref="I621" si="562">H621-J621</f>
        <v>11.880000000000003</v>
      </c>
      <c r="J621" s="43"/>
      <c r="K621" s="43"/>
      <c r="L621" s="43">
        <f t="shared" ref="L621" si="563">I621</f>
        <v>11.880000000000003</v>
      </c>
      <c r="M621" s="43"/>
      <c r="N621" s="43"/>
      <c r="O621" s="43"/>
      <c r="P621" s="43"/>
      <c r="Q621" s="43"/>
    </row>
    <row r="622" spans="1:17" ht="14.4" x14ac:dyDescent="0.25">
      <c r="A622" s="150"/>
      <c r="B622" s="15"/>
      <c r="C622" s="34">
        <f t="shared" si="514"/>
        <v>10.584</v>
      </c>
      <c r="D622" s="131">
        <v>3.92</v>
      </c>
      <c r="E622" s="17">
        <v>2.7</v>
      </c>
      <c r="F622" s="33">
        <v>1</v>
      </c>
      <c r="G622" s="45"/>
      <c r="H622" s="65"/>
      <c r="I622" s="42"/>
      <c r="J622" s="43"/>
      <c r="K622" s="43">
        <f>C622</f>
        <v>10.584</v>
      </c>
      <c r="L622" s="43"/>
      <c r="M622" s="43"/>
      <c r="N622" s="43"/>
      <c r="O622" s="43"/>
      <c r="P622" s="43"/>
      <c r="Q622" s="43"/>
    </row>
    <row r="623" spans="1:17" ht="14.4" x14ac:dyDescent="0.25">
      <c r="A623" s="150"/>
      <c r="B623" s="15"/>
      <c r="C623" s="34">
        <f t="shared" si="514"/>
        <v>10.422000000000001</v>
      </c>
      <c r="D623" s="131">
        <v>3.86</v>
      </c>
      <c r="E623" s="17">
        <v>2.7</v>
      </c>
      <c r="F623" s="33">
        <v>1</v>
      </c>
      <c r="G623" s="45"/>
      <c r="H623" s="65"/>
      <c r="I623" s="42"/>
      <c r="J623" s="43"/>
      <c r="K623" s="43">
        <f>C623</f>
        <v>10.422000000000001</v>
      </c>
      <c r="L623" s="43"/>
      <c r="M623" s="43"/>
      <c r="N623" s="43"/>
      <c r="O623" s="43"/>
      <c r="P623" s="43"/>
      <c r="Q623" s="43"/>
    </row>
    <row r="624" spans="1:17" ht="14.4" x14ac:dyDescent="0.25">
      <c r="A624" s="150">
        <v>22.51</v>
      </c>
      <c r="B624" s="15" t="s">
        <v>306</v>
      </c>
      <c r="C624" s="34">
        <f t="shared" si="514"/>
        <v>21.087000000000007</v>
      </c>
      <c r="D624" s="131">
        <f>(22.05-7.63)-3.81</f>
        <v>10.610000000000001</v>
      </c>
      <c r="E624" s="17">
        <v>2.7</v>
      </c>
      <c r="F624" s="33">
        <v>1</v>
      </c>
      <c r="G624" s="45">
        <v>7.56</v>
      </c>
      <c r="H624" s="65"/>
      <c r="I624" s="42"/>
      <c r="J624" s="43"/>
      <c r="K624" s="43"/>
      <c r="L624" s="43">
        <f>C624</f>
        <v>21.087000000000007</v>
      </c>
      <c r="M624" s="43"/>
      <c r="N624" s="43"/>
      <c r="O624" s="43"/>
      <c r="P624" s="43"/>
      <c r="Q624" s="43"/>
    </row>
    <row r="625" spans="1:17" ht="14.4" x14ac:dyDescent="0.25">
      <c r="A625" s="150"/>
      <c r="B625" s="15"/>
      <c r="C625" s="34">
        <f t="shared" si="514"/>
        <v>20.601000000000003</v>
      </c>
      <c r="D625" s="131">
        <v>7.63</v>
      </c>
      <c r="E625" s="17">
        <v>2.7</v>
      </c>
      <c r="F625" s="33">
        <v>1</v>
      </c>
      <c r="G625" s="45"/>
      <c r="H625" s="65">
        <f t="shared" ref="H625" si="564">C625</f>
        <v>20.601000000000003</v>
      </c>
      <c r="I625" s="42">
        <f t="shared" ref="I625" si="565">H625-J625</f>
        <v>20.601000000000003</v>
      </c>
      <c r="J625" s="43"/>
      <c r="K625" s="43"/>
      <c r="L625" s="43">
        <f t="shared" ref="L625" si="566">I625</f>
        <v>20.601000000000003</v>
      </c>
      <c r="M625" s="43"/>
      <c r="N625" s="43"/>
      <c r="O625" s="43"/>
      <c r="P625" s="43"/>
      <c r="Q625" s="43"/>
    </row>
    <row r="626" spans="1:17" ht="14.4" x14ac:dyDescent="0.25">
      <c r="A626" s="150"/>
      <c r="B626" s="15"/>
      <c r="C626" s="34">
        <f t="shared" si="514"/>
        <v>10.287000000000001</v>
      </c>
      <c r="D626" s="131">
        <v>3.81</v>
      </c>
      <c r="E626" s="17">
        <v>2.7</v>
      </c>
      <c r="F626" s="33">
        <v>1</v>
      </c>
      <c r="G626" s="45"/>
      <c r="H626" s="65"/>
      <c r="I626" s="42"/>
      <c r="J626" s="43"/>
      <c r="K626" s="43">
        <f>C626</f>
        <v>10.287000000000001</v>
      </c>
      <c r="L626" s="43"/>
      <c r="M626" s="43"/>
      <c r="N626" s="43"/>
      <c r="O626" s="43"/>
      <c r="P626" s="43"/>
      <c r="Q626" s="43"/>
    </row>
    <row r="627" spans="1:17" ht="14.4" x14ac:dyDescent="0.25">
      <c r="A627" s="150">
        <v>4.4800000000000004</v>
      </c>
      <c r="B627" s="15" t="s">
        <v>213</v>
      </c>
      <c r="C627" s="34">
        <f t="shared" si="514"/>
        <v>16.368399999999998</v>
      </c>
      <c r="D627" s="131">
        <f>8.87-2.83</f>
        <v>6.0399999999999991</v>
      </c>
      <c r="E627" s="17">
        <v>2.71</v>
      </c>
      <c r="F627" s="33">
        <v>1</v>
      </c>
      <c r="G627" s="45"/>
      <c r="H627" s="65"/>
      <c r="I627" s="42"/>
      <c r="J627" s="43"/>
      <c r="K627" s="43"/>
      <c r="L627" s="43"/>
      <c r="M627" s="43"/>
      <c r="N627" s="43"/>
      <c r="O627" s="43"/>
      <c r="P627" s="43">
        <f>C627</f>
        <v>16.368399999999998</v>
      </c>
      <c r="Q627" s="43"/>
    </row>
    <row r="628" spans="1:17" ht="14.4" x14ac:dyDescent="0.25">
      <c r="A628" s="150"/>
      <c r="B628" s="15"/>
      <c r="C628" s="34">
        <f t="shared" si="514"/>
        <v>7.6692999999999998</v>
      </c>
      <c r="D628" s="131">
        <v>2.83</v>
      </c>
      <c r="E628" s="17">
        <v>2.71</v>
      </c>
      <c r="F628" s="33">
        <v>1</v>
      </c>
      <c r="G628" s="45"/>
      <c r="H628" s="65">
        <f t="shared" ref="H628" si="567">C628</f>
        <v>7.6692999999999998</v>
      </c>
      <c r="I628" s="42"/>
      <c r="J628" s="43">
        <f t="shared" ref="J628" si="568">H628-I628</f>
        <v>7.6692999999999998</v>
      </c>
      <c r="K628" s="43"/>
      <c r="L628" s="43"/>
      <c r="M628" s="43"/>
      <c r="N628" s="43"/>
      <c r="O628" s="43"/>
      <c r="P628" s="43">
        <f>J628</f>
        <v>7.6692999999999998</v>
      </c>
      <c r="Q628" s="43"/>
    </row>
    <row r="629" spans="1:17" ht="14.4" x14ac:dyDescent="0.25">
      <c r="A629" s="150">
        <v>10.220000000000001</v>
      </c>
      <c r="B629" s="15" t="s">
        <v>177</v>
      </c>
      <c r="C629" s="34">
        <f t="shared" si="514"/>
        <v>29.754000000000001</v>
      </c>
      <c r="D629" s="131">
        <f>13.77-2.75</f>
        <v>11.02</v>
      </c>
      <c r="E629" s="17">
        <v>2.7</v>
      </c>
      <c r="F629" s="33">
        <v>1</v>
      </c>
      <c r="G629" s="45"/>
      <c r="H629" s="65"/>
      <c r="I629" s="42"/>
      <c r="J629" s="43"/>
      <c r="K629" s="43"/>
      <c r="L629" s="43"/>
      <c r="M629" s="43">
        <f>C629</f>
        <v>29.754000000000001</v>
      </c>
      <c r="N629" s="43"/>
      <c r="O629" s="43"/>
      <c r="P629" s="43"/>
      <c r="Q629" s="43"/>
    </row>
    <row r="630" spans="1:17" ht="14.4" x14ac:dyDescent="0.25">
      <c r="A630" s="150"/>
      <c r="B630" s="15"/>
      <c r="C630" s="34">
        <f t="shared" si="514"/>
        <v>7.4250000000000007</v>
      </c>
      <c r="D630" s="131">
        <v>2.75</v>
      </c>
      <c r="E630" s="17">
        <v>2.7</v>
      </c>
      <c r="F630" s="33">
        <v>1</v>
      </c>
      <c r="G630" s="45"/>
      <c r="H630" s="65">
        <f t="shared" ref="H630" si="569">C630</f>
        <v>7.4250000000000007</v>
      </c>
      <c r="I630" s="42">
        <f t="shared" ref="I630" si="570">H630-J630</f>
        <v>7.4250000000000007</v>
      </c>
      <c r="J630" s="43"/>
      <c r="K630" s="43"/>
      <c r="L630" s="43"/>
      <c r="M630" s="43">
        <f>I630</f>
        <v>7.4250000000000007</v>
      </c>
      <c r="N630" s="43"/>
      <c r="O630" s="43"/>
      <c r="P630" s="43"/>
      <c r="Q630" s="43"/>
    </row>
    <row r="631" spans="1:17" ht="14.4" x14ac:dyDescent="0.25">
      <c r="A631" s="150">
        <v>9.16</v>
      </c>
      <c r="B631" s="15" t="s">
        <v>307</v>
      </c>
      <c r="C631" s="34">
        <f t="shared" si="514"/>
        <v>27.540000000000006</v>
      </c>
      <c r="D631" s="131">
        <f>12.98-2.78</f>
        <v>10.200000000000001</v>
      </c>
      <c r="E631" s="17">
        <v>2.7</v>
      </c>
      <c r="F631" s="33">
        <v>1</v>
      </c>
      <c r="G631" s="45"/>
      <c r="H631" s="65"/>
      <c r="I631" s="42"/>
      <c r="J631" s="43"/>
      <c r="K631" s="43"/>
      <c r="L631" s="43">
        <f>C631</f>
        <v>27.540000000000006</v>
      </c>
      <c r="M631" s="43"/>
      <c r="N631" s="43"/>
      <c r="O631" s="43"/>
      <c r="P631" s="43"/>
      <c r="Q631" s="43"/>
    </row>
    <row r="632" spans="1:17" ht="14.4" x14ac:dyDescent="0.25">
      <c r="A632" s="150"/>
      <c r="B632" s="15"/>
      <c r="C632" s="34">
        <f t="shared" si="514"/>
        <v>7.5060000000000002</v>
      </c>
      <c r="D632" s="131">
        <v>2.78</v>
      </c>
      <c r="E632" s="17">
        <v>2.7</v>
      </c>
      <c r="F632" s="33">
        <v>1</v>
      </c>
      <c r="G632" s="45"/>
      <c r="H632" s="65">
        <f t="shared" ref="H632" si="571">C632</f>
        <v>7.5060000000000002</v>
      </c>
      <c r="I632" s="42">
        <f t="shared" ref="I632" si="572">H632-J632</f>
        <v>7.5060000000000002</v>
      </c>
      <c r="J632" s="43"/>
      <c r="K632" s="43"/>
      <c r="L632" s="43">
        <f t="shared" ref="L632" si="573">I632</f>
        <v>7.5060000000000002</v>
      </c>
      <c r="M632" s="43"/>
      <c r="N632" s="43"/>
      <c r="O632" s="43"/>
      <c r="P632" s="43"/>
      <c r="Q632" s="43"/>
    </row>
    <row r="633" spans="1:17" ht="14.4" x14ac:dyDescent="0.25">
      <c r="A633" s="150">
        <v>6.12</v>
      </c>
      <c r="B633" s="15" t="s">
        <v>308</v>
      </c>
      <c r="C633" s="34">
        <f t="shared" si="514"/>
        <v>26.864999999999998</v>
      </c>
      <c r="D633" s="131">
        <v>9.9499999999999993</v>
      </c>
      <c r="E633" s="17">
        <v>2.7</v>
      </c>
      <c r="F633" s="33">
        <v>1</v>
      </c>
      <c r="G633" s="45"/>
      <c r="H633" s="65"/>
      <c r="I633" s="42"/>
      <c r="J633" s="43"/>
      <c r="K633" s="43"/>
      <c r="L633" s="43">
        <f>C633</f>
        <v>26.864999999999998</v>
      </c>
      <c r="M633" s="43"/>
      <c r="N633" s="43"/>
      <c r="O633" s="43"/>
      <c r="P633" s="43"/>
      <c r="Q633" s="43"/>
    </row>
    <row r="634" spans="1:17" ht="14.4" x14ac:dyDescent="0.25">
      <c r="A634" s="150">
        <v>3.3</v>
      </c>
      <c r="B634" s="15" t="s">
        <v>309</v>
      </c>
      <c r="C634" s="34">
        <f t="shared" si="514"/>
        <v>40.108000000000004</v>
      </c>
      <c r="D634" s="131">
        <v>7.4</v>
      </c>
      <c r="E634" s="17">
        <v>2.71</v>
      </c>
      <c r="F634" s="33">
        <v>2</v>
      </c>
      <c r="G634" s="45"/>
      <c r="H634" s="65"/>
      <c r="I634" s="42"/>
      <c r="J634" s="43"/>
      <c r="K634" s="43"/>
      <c r="L634" s="43"/>
      <c r="M634" s="43"/>
      <c r="N634" s="43"/>
      <c r="O634" s="43"/>
      <c r="P634" s="43">
        <f>C634</f>
        <v>40.108000000000004</v>
      </c>
      <c r="Q634" s="43"/>
    </row>
    <row r="635" spans="1:17" ht="14.4" x14ac:dyDescent="0.25">
      <c r="A635" s="150">
        <v>4.0199999999999996</v>
      </c>
      <c r="B635" s="15" t="s">
        <v>269</v>
      </c>
      <c r="C635" s="34">
        <f t="shared" si="514"/>
        <v>23.089199999999998</v>
      </c>
      <c r="D635" s="131">
        <v>8.52</v>
      </c>
      <c r="E635" s="17">
        <v>2.71</v>
      </c>
      <c r="F635" s="33">
        <v>1</v>
      </c>
      <c r="G635" s="45"/>
      <c r="H635" s="65"/>
      <c r="I635" s="42"/>
      <c r="J635" s="43"/>
      <c r="K635" s="43"/>
      <c r="L635" s="43"/>
      <c r="M635" s="43"/>
      <c r="N635" s="43"/>
      <c r="O635" s="43"/>
      <c r="P635" s="43"/>
      <c r="Q635" s="43">
        <f>C635</f>
        <v>23.089199999999998</v>
      </c>
    </row>
    <row r="636" spans="1:17" ht="14.4" x14ac:dyDescent="0.25">
      <c r="A636" s="150">
        <v>4.6900000000000004</v>
      </c>
      <c r="B636" s="15" t="s">
        <v>310</v>
      </c>
      <c r="C636" s="34">
        <f t="shared" si="514"/>
        <v>20.142000000000003</v>
      </c>
      <c r="D636" s="131">
        <f>9.06-1.6</f>
        <v>7.4600000000000009</v>
      </c>
      <c r="E636" s="17">
        <v>2.7</v>
      </c>
      <c r="F636" s="33">
        <v>1</v>
      </c>
      <c r="G636" s="45"/>
      <c r="H636" s="65"/>
      <c r="I636" s="42"/>
      <c r="J636" s="43"/>
      <c r="K636" s="43"/>
      <c r="L636" s="43">
        <f>C636</f>
        <v>20.142000000000003</v>
      </c>
      <c r="M636" s="43"/>
      <c r="N636" s="43"/>
      <c r="O636" s="43"/>
      <c r="P636" s="43"/>
      <c r="Q636" s="43"/>
    </row>
    <row r="637" spans="1:17" ht="14.4" x14ac:dyDescent="0.25">
      <c r="A637" s="150">
        <v>7.77</v>
      </c>
      <c r="B637" s="15" t="s">
        <v>205</v>
      </c>
      <c r="C637" s="34">
        <f t="shared" si="514"/>
        <v>22.571999999999999</v>
      </c>
      <c r="D637" s="131">
        <f>10.86-2.5</f>
        <v>8.36</v>
      </c>
      <c r="E637" s="17">
        <v>2.7</v>
      </c>
      <c r="F637" s="33">
        <v>1</v>
      </c>
      <c r="G637" s="45"/>
      <c r="H637" s="65"/>
      <c r="I637" s="42"/>
      <c r="J637" s="43"/>
      <c r="K637" s="43"/>
      <c r="L637" s="43">
        <f>C637</f>
        <v>22.571999999999999</v>
      </c>
      <c r="M637" s="43"/>
      <c r="N637" s="43"/>
      <c r="O637" s="43"/>
      <c r="P637" s="43"/>
      <c r="Q637" s="43"/>
    </row>
    <row r="638" spans="1:17" ht="14.4" x14ac:dyDescent="0.25">
      <c r="A638" s="150">
        <v>6.32</v>
      </c>
      <c r="B638" s="15" t="s">
        <v>311</v>
      </c>
      <c r="C638" s="34">
        <f t="shared" si="514"/>
        <v>27.135000000000005</v>
      </c>
      <c r="D638" s="131">
        <f>10.05</f>
        <v>10.050000000000001</v>
      </c>
      <c r="E638" s="17">
        <v>2.7</v>
      </c>
      <c r="F638" s="33">
        <v>1</v>
      </c>
      <c r="G638" s="45"/>
      <c r="H638" s="65"/>
      <c r="I638" s="42"/>
      <c r="J638" s="43"/>
      <c r="K638" s="43"/>
      <c r="L638" s="43">
        <f>C638</f>
        <v>27.135000000000005</v>
      </c>
      <c r="M638" s="43"/>
      <c r="N638" s="43"/>
      <c r="O638" s="43"/>
      <c r="P638" s="43"/>
      <c r="Q638" s="43"/>
    </row>
    <row r="639" spans="1:17" ht="14.4" x14ac:dyDescent="0.25">
      <c r="A639" s="150">
        <v>8.18</v>
      </c>
      <c r="B639" s="15" t="s">
        <v>270</v>
      </c>
      <c r="C639" s="34">
        <f t="shared" si="514"/>
        <v>32.751000000000005</v>
      </c>
      <c r="D639" s="131">
        <f>12.13</f>
        <v>12.13</v>
      </c>
      <c r="E639" s="17">
        <v>2.7</v>
      </c>
      <c r="F639" s="33">
        <v>1</v>
      </c>
      <c r="G639" s="45"/>
      <c r="H639" s="65"/>
      <c r="I639" s="42"/>
      <c r="J639" s="43"/>
      <c r="K639" s="43"/>
      <c r="L639" s="43">
        <f>C639</f>
        <v>32.751000000000005</v>
      </c>
      <c r="M639" s="43"/>
      <c r="N639" s="43"/>
      <c r="O639" s="43"/>
      <c r="P639" s="43"/>
      <c r="Q639" s="43"/>
    </row>
    <row r="640" spans="1:17" ht="14.4" x14ac:dyDescent="0.25">
      <c r="A640" s="150">
        <v>11.97</v>
      </c>
      <c r="B640" s="15" t="s">
        <v>312</v>
      </c>
      <c r="C640" s="34">
        <f t="shared" si="514"/>
        <v>50.541499999999992</v>
      </c>
      <c r="D640" s="131">
        <v>18.649999999999999</v>
      </c>
      <c r="E640" s="17">
        <v>2.71</v>
      </c>
      <c r="F640" s="33">
        <v>1</v>
      </c>
      <c r="G640" s="45"/>
      <c r="H640" s="65"/>
      <c r="I640" s="42"/>
      <c r="J640" s="43"/>
      <c r="K640" s="43"/>
      <c r="L640" s="43"/>
      <c r="M640" s="43"/>
      <c r="N640" s="43"/>
      <c r="O640" s="43"/>
      <c r="P640" s="43">
        <f>C640</f>
        <v>50.541499999999992</v>
      </c>
      <c r="Q640" s="43"/>
    </row>
    <row r="641" spans="1:17" ht="14.4" x14ac:dyDescent="0.25">
      <c r="A641" s="219">
        <v>12.07</v>
      </c>
      <c r="B641" s="220" t="s">
        <v>277</v>
      </c>
      <c r="C641" s="34">
        <f t="shared" si="514"/>
        <v>50.351799999999997</v>
      </c>
      <c r="D641" s="131">
        <v>18.579999999999998</v>
      </c>
      <c r="E641" s="17">
        <v>2.71</v>
      </c>
      <c r="F641" s="33">
        <v>1</v>
      </c>
      <c r="G641" s="45"/>
      <c r="H641" s="65"/>
      <c r="I641" s="42"/>
      <c r="J641" s="43"/>
      <c r="K641" s="43"/>
      <c r="L641" s="43"/>
      <c r="M641" s="43"/>
      <c r="N641" s="43"/>
      <c r="O641" s="43"/>
      <c r="P641" s="43">
        <f>C641</f>
        <v>50.351799999999997</v>
      </c>
      <c r="Q641" s="43"/>
    </row>
    <row r="642" spans="1:17" ht="14.4" x14ac:dyDescent="0.25">
      <c r="A642" s="150">
        <v>3</v>
      </c>
      <c r="B642" s="15" t="s">
        <v>313</v>
      </c>
      <c r="C642" s="34">
        <f t="shared" si="514"/>
        <v>40.108000000000004</v>
      </c>
      <c r="D642" s="131">
        <v>7.4</v>
      </c>
      <c r="E642" s="17">
        <v>2.71</v>
      </c>
      <c r="F642" s="33">
        <v>2</v>
      </c>
      <c r="G642" s="45"/>
      <c r="H642" s="65"/>
      <c r="I642" s="42"/>
      <c r="J642" s="43"/>
      <c r="K642" s="43"/>
      <c r="L642" s="43"/>
      <c r="M642" s="43"/>
      <c r="N642" s="43"/>
      <c r="O642" s="43"/>
      <c r="P642" s="43">
        <f>C642</f>
        <v>40.108000000000004</v>
      </c>
      <c r="Q642" s="43"/>
    </row>
    <row r="643" spans="1:17" ht="14.4" x14ac:dyDescent="0.25">
      <c r="A643" s="150">
        <v>16.18</v>
      </c>
      <c r="B643" s="15" t="s">
        <v>282</v>
      </c>
      <c r="C643" s="34">
        <f t="shared" si="514"/>
        <v>51.246000000000002</v>
      </c>
      <c r="D643" s="131">
        <v>18.98</v>
      </c>
      <c r="E643" s="17">
        <v>2.7</v>
      </c>
      <c r="F643" s="33">
        <v>1</v>
      </c>
      <c r="G643" s="45"/>
      <c r="H643" s="65"/>
      <c r="I643" s="42"/>
      <c r="J643" s="43"/>
      <c r="K643" s="43"/>
      <c r="L643" s="43">
        <f>C643</f>
        <v>51.246000000000002</v>
      </c>
      <c r="M643" s="43"/>
      <c r="N643" s="43"/>
      <c r="O643" s="43"/>
      <c r="P643" s="43"/>
      <c r="Q643" s="43"/>
    </row>
    <row r="644" spans="1:17" ht="14.4" x14ac:dyDescent="0.25">
      <c r="A644" s="150">
        <v>10.94</v>
      </c>
      <c r="B644" s="15" t="s">
        <v>257</v>
      </c>
      <c r="C644" s="34">
        <f t="shared" si="514"/>
        <v>32.709699999999998</v>
      </c>
      <c r="D644" s="131">
        <v>12.07</v>
      </c>
      <c r="E644" s="17">
        <v>2.71</v>
      </c>
      <c r="F644" s="33">
        <v>1</v>
      </c>
      <c r="G644" s="45"/>
      <c r="H644" s="65"/>
      <c r="I644" s="42"/>
      <c r="J644" s="43"/>
      <c r="K644" s="43"/>
      <c r="L644" s="43"/>
      <c r="M644" s="43"/>
      <c r="N644" s="43"/>
      <c r="O644" s="43"/>
      <c r="P644" s="43"/>
      <c r="Q644" s="43">
        <f>C644</f>
        <v>32.709699999999998</v>
      </c>
    </row>
    <row r="645" spans="1:17" ht="14.4" x14ac:dyDescent="0.25">
      <c r="A645" s="150">
        <v>10.94</v>
      </c>
      <c r="B645" s="15" t="s">
        <v>314</v>
      </c>
      <c r="C645" s="34">
        <f t="shared" si="514"/>
        <v>32.589000000000006</v>
      </c>
      <c r="D645" s="131">
        <f>12.07</f>
        <v>12.07</v>
      </c>
      <c r="E645" s="17">
        <v>2.7</v>
      </c>
      <c r="F645" s="33">
        <v>1</v>
      </c>
      <c r="G645" s="45"/>
      <c r="H645" s="65"/>
      <c r="I645" s="42"/>
      <c r="J645" s="43"/>
      <c r="K645" s="43"/>
      <c r="L645" s="43">
        <f>C645</f>
        <v>32.589000000000006</v>
      </c>
      <c r="M645" s="43"/>
      <c r="N645" s="43"/>
      <c r="O645" s="43"/>
      <c r="P645" s="43"/>
      <c r="Q645" s="43"/>
    </row>
    <row r="646" spans="1:17" ht="14.4" x14ac:dyDescent="0.25">
      <c r="A646" s="150">
        <v>13.8</v>
      </c>
      <c r="B646" s="15" t="s">
        <v>315</v>
      </c>
      <c r="C646" s="34">
        <f t="shared" si="514"/>
        <v>38.583000000000006</v>
      </c>
      <c r="D646" s="131">
        <f>15.82-1.53</f>
        <v>14.290000000000001</v>
      </c>
      <c r="E646" s="17">
        <v>2.7</v>
      </c>
      <c r="F646" s="33">
        <v>1</v>
      </c>
      <c r="G646" s="45"/>
      <c r="H646" s="65"/>
      <c r="I646" s="42"/>
      <c r="J646" s="43"/>
      <c r="K646" s="43"/>
      <c r="L646" s="43">
        <f>C646</f>
        <v>38.583000000000006</v>
      </c>
      <c r="M646" s="43"/>
      <c r="N646" s="43"/>
      <c r="O646" s="43"/>
      <c r="P646" s="43"/>
      <c r="Q646" s="43"/>
    </row>
    <row r="647" spans="1:17" ht="14.4" x14ac:dyDescent="0.25">
      <c r="A647" s="219">
        <v>17.649999999999999</v>
      </c>
      <c r="B647" s="220" t="s">
        <v>246</v>
      </c>
      <c r="C647" s="34">
        <f t="shared" si="514"/>
        <v>45.684000000000005</v>
      </c>
      <c r="D647" s="131">
        <f>20.23-3.31</f>
        <v>16.920000000000002</v>
      </c>
      <c r="E647" s="17">
        <v>2.7</v>
      </c>
      <c r="F647" s="33">
        <v>1</v>
      </c>
      <c r="G647" s="45"/>
      <c r="H647" s="65"/>
      <c r="I647" s="42"/>
      <c r="J647" s="43"/>
      <c r="K647" s="43"/>
      <c r="L647" s="43">
        <f>C647</f>
        <v>45.684000000000005</v>
      </c>
      <c r="M647" s="43"/>
      <c r="N647" s="43"/>
      <c r="O647" s="43"/>
      <c r="P647" s="43"/>
      <c r="Q647" s="43"/>
    </row>
    <row r="648" spans="1:17" ht="14.4" x14ac:dyDescent="0.25">
      <c r="A648" s="150"/>
      <c r="B648" s="15" t="s">
        <v>246</v>
      </c>
      <c r="C648" s="34">
        <f t="shared" si="514"/>
        <v>7.39</v>
      </c>
      <c r="D648" s="131">
        <v>7.39</v>
      </c>
      <c r="E648" s="17">
        <v>1</v>
      </c>
      <c r="F648" s="33">
        <v>1</v>
      </c>
      <c r="G648" s="45"/>
      <c r="H648" s="488">
        <f t="shared" si="546"/>
        <v>7.39</v>
      </c>
      <c r="I648" s="42"/>
      <c r="J648" s="43">
        <f t="shared" ref="J648:J650" si="574">H648-I648</f>
        <v>7.39</v>
      </c>
      <c r="K648" s="43"/>
      <c r="L648" s="43"/>
      <c r="M648" s="43"/>
      <c r="N648" s="43"/>
      <c r="O648" s="43"/>
      <c r="P648" s="43">
        <f>J648</f>
        <v>7.39</v>
      </c>
      <c r="Q648" s="43"/>
    </row>
    <row r="649" spans="1:17" ht="14.4" x14ac:dyDescent="0.25">
      <c r="A649" s="219">
        <v>36.85</v>
      </c>
      <c r="B649" s="220" t="s">
        <v>316</v>
      </c>
      <c r="C649" s="34">
        <f t="shared" si="514"/>
        <v>57.105000000000004</v>
      </c>
      <c r="D649" s="131">
        <f>38.25-3.9</f>
        <v>34.35</v>
      </c>
      <c r="E649" s="17">
        <v>2.7</v>
      </c>
      <c r="F649" s="33">
        <v>1</v>
      </c>
      <c r="G649" s="45">
        <v>35.64</v>
      </c>
      <c r="H649" s="65"/>
      <c r="I649" s="42"/>
      <c r="J649" s="43"/>
      <c r="K649" s="43"/>
      <c r="L649" s="43">
        <f>C649</f>
        <v>57.105000000000004</v>
      </c>
      <c r="M649" s="43"/>
      <c r="N649" s="43"/>
      <c r="O649" s="43"/>
      <c r="P649" s="43"/>
      <c r="Q649" s="43"/>
    </row>
    <row r="650" spans="1:17" ht="14.4" x14ac:dyDescent="0.25">
      <c r="A650" s="150"/>
      <c r="B650" s="15" t="s">
        <v>316</v>
      </c>
      <c r="C650" s="34">
        <f t="shared" si="514"/>
        <v>3.38</v>
      </c>
      <c r="D650" s="131">
        <v>3.38</v>
      </c>
      <c r="E650" s="17">
        <v>1</v>
      </c>
      <c r="F650" s="33">
        <v>1</v>
      </c>
      <c r="G650" s="45"/>
      <c r="H650" s="488">
        <f t="shared" si="546"/>
        <v>3.38</v>
      </c>
      <c r="I650" s="42"/>
      <c r="J650" s="43">
        <f t="shared" si="574"/>
        <v>3.38</v>
      </c>
      <c r="K650" s="43"/>
      <c r="L650" s="43"/>
      <c r="M650" s="43"/>
      <c r="N650" s="43"/>
      <c r="O650" s="43"/>
      <c r="P650" s="43"/>
      <c r="Q650" s="43"/>
    </row>
    <row r="651" spans="1:17" ht="14.4" x14ac:dyDescent="0.25">
      <c r="A651" s="150">
        <v>4.95</v>
      </c>
      <c r="B651" s="15" t="s">
        <v>177</v>
      </c>
      <c r="C651" s="34">
        <f t="shared" si="514"/>
        <v>17.955000000000002</v>
      </c>
      <c r="D651" s="131">
        <f>8.9-2.25</f>
        <v>6.65</v>
      </c>
      <c r="E651" s="17">
        <v>2.7</v>
      </c>
      <c r="F651" s="33">
        <v>1</v>
      </c>
      <c r="G651" s="45"/>
      <c r="H651" s="65"/>
      <c r="I651" s="42"/>
      <c r="J651" s="43"/>
      <c r="K651" s="43"/>
      <c r="L651" s="43"/>
      <c r="M651" s="43">
        <f>C651</f>
        <v>17.955000000000002</v>
      </c>
      <c r="N651" s="43"/>
      <c r="O651" s="43"/>
      <c r="P651" s="43"/>
      <c r="Q651" s="43"/>
    </row>
    <row r="652" spans="1:17" ht="14.4" x14ac:dyDescent="0.25">
      <c r="A652" s="150"/>
      <c r="B652" s="15"/>
      <c r="C652" s="34">
        <f t="shared" si="514"/>
        <v>6.0750000000000002</v>
      </c>
      <c r="D652" s="131">
        <v>2.25</v>
      </c>
      <c r="E652" s="17">
        <v>2.7</v>
      </c>
      <c r="F652" s="33">
        <v>1</v>
      </c>
      <c r="G652" s="45"/>
      <c r="H652" s="65">
        <f t="shared" ref="H652" si="575">C652</f>
        <v>6.0750000000000002</v>
      </c>
      <c r="I652" s="42">
        <f t="shared" ref="I652" si="576">H652-J652</f>
        <v>6.0750000000000002</v>
      </c>
      <c r="J652" s="43"/>
      <c r="K652" s="43"/>
      <c r="L652" s="43"/>
      <c r="M652" s="43">
        <f>I652</f>
        <v>6.0750000000000002</v>
      </c>
      <c r="N652" s="43"/>
      <c r="O652" s="43"/>
      <c r="P652" s="43"/>
      <c r="Q652" s="43"/>
    </row>
    <row r="653" spans="1:17" ht="14.4" x14ac:dyDescent="0.25">
      <c r="A653" s="219">
        <v>73.86</v>
      </c>
      <c r="B653" s="220" t="s">
        <v>168</v>
      </c>
      <c r="C653" s="34">
        <f t="shared" si="514"/>
        <v>133.38000000000005</v>
      </c>
      <c r="D653" s="131">
        <f>70.15-4.75</f>
        <v>65.400000000000006</v>
      </c>
      <c r="E653" s="17">
        <v>2.7</v>
      </c>
      <c r="F653" s="33">
        <v>1</v>
      </c>
      <c r="G653" s="45">
        <v>43.2</v>
      </c>
      <c r="H653" s="65"/>
      <c r="I653" s="42"/>
      <c r="J653" s="43"/>
      <c r="K653" s="43"/>
      <c r="L653" s="43">
        <f>C653</f>
        <v>133.38000000000005</v>
      </c>
      <c r="M653" s="43"/>
      <c r="N653" s="43"/>
      <c r="O653" s="43"/>
      <c r="P653" s="43"/>
      <c r="Q653" s="43"/>
    </row>
    <row r="654" spans="1:17" ht="14.4" x14ac:dyDescent="0.25">
      <c r="A654" s="150"/>
      <c r="B654" s="15" t="s">
        <v>168</v>
      </c>
      <c r="C654" s="34">
        <f t="shared" si="514"/>
        <v>2.7</v>
      </c>
      <c r="D654" s="131">
        <v>2.7</v>
      </c>
      <c r="E654" s="17">
        <v>1</v>
      </c>
      <c r="F654" s="33">
        <v>1</v>
      </c>
      <c r="G654" s="45"/>
      <c r="H654" s="488">
        <f t="shared" si="546"/>
        <v>2.7</v>
      </c>
      <c r="I654" s="42"/>
      <c r="J654" s="43">
        <f t="shared" ref="J654" si="577">H654-I654</f>
        <v>2.7</v>
      </c>
      <c r="K654" s="43"/>
      <c r="L654" s="43"/>
      <c r="M654" s="43"/>
      <c r="N654" s="43"/>
      <c r="O654" s="43"/>
      <c r="P654" s="43">
        <f>J654</f>
        <v>2.7</v>
      </c>
      <c r="Q654" s="43"/>
    </row>
    <row r="655" spans="1:17" ht="14.4" x14ac:dyDescent="0.25">
      <c r="A655" s="150">
        <v>4.29</v>
      </c>
      <c r="B655" s="15" t="s">
        <v>213</v>
      </c>
      <c r="C655" s="34">
        <f t="shared" si="514"/>
        <v>16.8291</v>
      </c>
      <c r="D655" s="131">
        <f>8.73-2.52</f>
        <v>6.2100000000000009</v>
      </c>
      <c r="E655" s="17">
        <v>2.71</v>
      </c>
      <c r="F655" s="33">
        <v>1</v>
      </c>
      <c r="G655" s="45"/>
      <c r="H655" s="65"/>
      <c r="I655" s="42"/>
      <c r="J655" s="43"/>
      <c r="K655" s="43"/>
      <c r="L655" s="43"/>
      <c r="M655" s="43"/>
      <c r="N655" s="43"/>
      <c r="O655" s="43"/>
      <c r="P655" s="43">
        <f>C655</f>
        <v>16.8291</v>
      </c>
      <c r="Q655" s="43"/>
    </row>
    <row r="656" spans="1:17" ht="14.4" x14ac:dyDescent="0.25">
      <c r="A656" s="150"/>
      <c r="B656" s="15"/>
      <c r="C656" s="34">
        <f t="shared" si="514"/>
        <v>6.8292000000000002</v>
      </c>
      <c r="D656" s="131">
        <v>2.52</v>
      </c>
      <c r="E656" s="17">
        <v>2.71</v>
      </c>
      <c r="F656" s="33">
        <v>1</v>
      </c>
      <c r="G656" s="45"/>
      <c r="H656" s="65">
        <f t="shared" ref="H656" si="578">C656</f>
        <v>6.8292000000000002</v>
      </c>
      <c r="I656" s="42"/>
      <c r="J656" s="43">
        <f t="shared" ref="J656" si="579">H656-I656</f>
        <v>6.8292000000000002</v>
      </c>
      <c r="K656" s="43"/>
      <c r="L656" s="43"/>
      <c r="M656" s="43"/>
      <c r="N656" s="43"/>
      <c r="O656" s="43"/>
      <c r="P656" s="43">
        <f>J656</f>
        <v>6.8292000000000002</v>
      </c>
      <c r="Q656" s="43"/>
    </row>
    <row r="657" spans="1:18" ht="14.4" x14ac:dyDescent="0.25">
      <c r="A657" s="150">
        <v>23.04</v>
      </c>
      <c r="B657" s="15" t="s">
        <v>317</v>
      </c>
      <c r="C657" s="34">
        <f t="shared" si="514"/>
        <v>25.731000000000005</v>
      </c>
      <c r="D657" s="131">
        <f>(22.46-7.93)-5</f>
        <v>9.5300000000000011</v>
      </c>
      <c r="E657" s="17">
        <v>2.7</v>
      </c>
      <c r="F657" s="33">
        <v>1</v>
      </c>
      <c r="G657" s="45"/>
      <c r="H657" s="65"/>
      <c r="I657" s="42"/>
      <c r="J657" s="43"/>
      <c r="K657" s="43"/>
      <c r="L657" s="43">
        <f>C657</f>
        <v>25.731000000000005</v>
      </c>
      <c r="M657" s="43"/>
      <c r="N657" s="43"/>
      <c r="O657" s="43"/>
      <c r="P657" s="43"/>
      <c r="Q657" s="43"/>
    </row>
    <row r="658" spans="1:18" ht="14.4" x14ac:dyDescent="0.25">
      <c r="A658" s="150"/>
      <c r="B658" s="15"/>
      <c r="C658" s="34">
        <f t="shared" si="514"/>
        <v>21.411000000000001</v>
      </c>
      <c r="D658" s="131">
        <v>7.93</v>
      </c>
      <c r="E658" s="17">
        <v>2.7</v>
      </c>
      <c r="F658" s="33">
        <v>1</v>
      </c>
      <c r="G658" s="45"/>
      <c r="H658" s="65">
        <f t="shared" ref="H658" si="580">C658</f>
        <v>21.411000000000001</v>
      </c>
      <c r="I658" s="42">
        <f t="shared" ref="I658" si="581">H658-J658</f>
        <v>21.411000000000001</v>
      </c>
      <c r="J658" s="43"/>
      <c r="K658" s="43"/>
      <c r="L658" s="43">
        <f t="shared" ref="L658" si="582">I658</f>
        <v>21.411000000000001</v>
      </c>
      <c r="M658" s="43"/>
      <c r="N658" s="43"/>
      <c r="O658" s="43"/>
      <c r="P658" s="43"/>
      <c r="Q658" s="43"/>
    </row>
    <row r="659" spans="1:18" ht="14.4" x14ac:dyDescent="0.25">
      <c r="A659" s="150"/>
      <c r="B659" s="15"/>
      <c r="C659" s="34">
        <f t="shared" si="514"/>
        <v>13.5</v>
      </c>
      <c r="D659" s="131">
        <v>5</v>
      </c>
      <c r="E659" s="17">
        <v>2.7</v>
      </c>
      <c r="F659" s="33">
        <v>1</v>
      </c>
      <c r="G659" s="45"/>
      <c r="H659" s="65"/>
      <c r="I659" s="42"/>
      <c r="J659" s="43"/>
      <c r="K659" s="43">
        <f>C659</f>
        <v>13.5</v>
      </c>
      <c r="L659" s="43"/>
      <c r="M659" s="43"/>
      <c r="N659" s="43"/>
      <c r="O659" s="43"/>
      <c r="P659" s="43"/>
      <c r="Q659" s="43"/>
    </row>
    <row r="660" spans="1:18" ht="14.4" x14ac:dyDescent="0.25">
      <c r="A660" s="150">
        <v>23.1</v>
      </c>
      <c r="B660" s="15" t="s">
        <v>319</v>
      </c>
      <c r="C660" s="34">
        <f t="shared" si="514"/>
        <v>26.811000000000003</v>
      </c>
      <c r="D660" s="131">
        <f>(23.46-17.55)</f>
        <v>5.91</v>
      </c>
      <c r="E660" s="17">
        <v>2.7</v>
      </c>
      <c r="F660" s="33">
        <v>3</v>
      </c>
      <c r="G660" s="45">
        <v>21.06</v>
      </c>
      <c r="H660" s="65"/>
      <c r="I660" s="42"/>
      <c r="J660" s="43"/>
      <c r="K660" s="43"/>
      <c r="L660" s="43">
        <f>C660</f>
        <v>26.811000000000003</v>
      </c>
      <c r="M660" s="43"/>
      <c r="N660" s="43"/>
      <c r="O660" s="43"/>
      <c r="P660" s="43"/>
      <c r="Q660" s="43"/>
    </row>
    <row r="661" spans="1:18" ht="14.4" x14ac:dyDescent="0.25">
      <c r="A661" s="150"/>
      <c r="B661" s="15"/>
      <c r="C661" s="34">
        <f t="shared" si="514"/>
        <v>47.384999999999998</v>
      </c>
      <c r="D661" s="131">
        <v>5.85</v>
      </c>
      <c r="E661" s="17">
        <v>2.7</v>
      </c>
      <c r="F661" s="33">
        <v>3</v>
      </c>
      <c r="G661" s="45"/>
      <c r="H661" s="65">
        <f t="shared" ref="H661" si="583">C661</f>
        <v>47.384999999999998</v>
      </c>
      <c r="I661" s="42">
        <f t="shared" ref="I661" si="584">H661-J661</f>
        <v>47.384999999999998</v>
      </c>
      <c r="J661" s="43"/>
      <c r="K661" s="43"/>
      <c r="L661" s="43">
        <f t="shared" ref="L661" si="585">I661</f>
        <v>47.384999999999998</v>
      </c>
      <c r="M661" s="43"/>
      <c r="N661" s="43"/>
      <c r="O661" s="43"/>
      <c r="P661" s="43"/>
      <c r="Q661" s="43"/>
    </row>
    <row r="662" spans="1:18" ht="14.4" x14ac:dyDescent="0.25">
      <c r="A662" s="150"/>
      <c r="B662" s="15"/>
      <c r="C662" s="34">
        <f t="shared" si="514"/>
        <v>40.5</v>
      </c>
      <c r="D662" s="131">
        <v>5</v>
      </c>
      <c r="E662" s="17">
        <v>2.7</v>
      </c>
      <c r="F662" s="33">
        <v>3</v>
      </c>
      <c r="G662" s="45"/>
      <c r="H662" s="65"/>
      <c r="I662" s="42"/>
      <c r="J662" s="43"/>
      <c r="K662" s="43">
        <f>C662</f>
        <v>40.5</v>
      </c>
      <c r="L662" s="43"/>
      <c r="M662" s="43"/>
      <c r="N662" s="43"/>
      <c r="O662" s="43"/>
      <c r="P662" s="43"/>
      <c r="Q662" s="43"/>
    </row>
    <row r="663" spans="1:18" ht="14.4" x14ac:dyDescent="0.25">
      <c r="A663" s="150">
        <v>23.74</v>
      </c>
      <c r="B663" s="15" t="s">
        <v>318</v>
      </c>
      <c r="C663" s="34">
        <f t="shared" si="514"/>
        <v>52.758000000000003</v>
      </c>
      <c r="D663" s="131">
        <f>21.47-11.7</f>
        <v>9.77</v>
      </c>
      <c r="E663" s="17">
        <v>2.7</v>
      </c>
      <c r="F663" s="33">
        <v>2</v>
      </c>
      <c r="G663" s="45"/>
      <c r="H663" s="65"/>
      <c r="I663" s="42"/>
      <c r="J663" s="43"/>
      <c r="K663" s="43"/>
      <c r="L663" s="43">
        <f>C663</f>
        <v>52.758000000000003</v>
      </c>
      <c r="M663" s="43"/>
      <c r="N663" s="43"/>
      <c r="O663" s="43"/>
      <c r="P663" s="43"/>
      <c r="Q663" s="43"/>
    </row>
    <row r="664" spans="1:18" ht="14.4" x14ac:dyDescent="0.25">
      <c r="A664" s="150"/>
      <c r="B664" s="15"/>
      <c r="C664" s="34">
        <f t="shared" si="514"/>
        <v>31.59</v>
      </c>
      <c r="D664" s="131">
        <v>5.85</v>
      </c>
      <c r="E664" s="17">
        <v>2.7</v>
      </c>
      <c r="F664" s="33">
        <v>2</v>
      </c>
      <c r="G664" s="45"/>
      <c r="H664" s="65">
        <f t="shared" ref="H664" si="586">C664</f>
        <v>31.59</v>
      </c>
      <c r="I664" s="42">
        <f t="shared" ref="I664" si="587">H664-J664</f>
        <v>31.59</v>
      </c>
      <c r="J664" s="43"/>
      <c r="K664" s="43"/>
      <c r="L664" s="43">
        <f t="shared" ref="L664" si="588">I664</f>
        <v>31.59</v>
      </c>
      <c r="M664" s="43"/>
      <c r="N664" s="43"/>
      <c r="O664" s="43"/>
      <c r="P664" s="43"/>
      <c r="Q664" s="43"/>
    </row>
    <row r="665" spans="1:18" ht="14.4" x14ac:dyDescent="0.25">
      <c r="A665" s="150"/>
      <c r="B665" s="15"/>
      <c r="C665" s="34">
        <f t="shared" si="514"/>
        <v>27</v>
      </c>
      <c r="D665" s="131">
        <v>5</v>
      </c>
      <c r="E665" s="17">
        <v>2.7</v>
      </c>
      <c r="F665" s="33">
        <v>2</v>
      </c>
      <c r="G665" s="45"/>
      <c r="H665" s="65"/>
      <c r="I665" s="42"/>
      <c r="J665" s="43"/>
      <c r="K665" s="43">
        <f>C665</f>
        <v>27</v>
      </c>
      <c r="L665" s="43"/>
      <c r="M665" s="43"/>
      <c r="N665" s="43"/>
      <c r="O665" s="43"/>
      <c r="P665" s="43"/>
      <c r="Q665" s="43"/>
    </row>
    <row r="666" spans="1:18" ht="14.4" x14ac:dyDescent="0.25">
      <c r="A666" s="219">
        <v>3.6</v>
      </c>
      <c r="B666" s="220" t="s">
        <v>258</v>
      </c>
      <c r="C666" s="34">
        <f t="shared" si="514"/>
        <v>15.525</v>
      </c>
      <c r="D666" s="131">
        <f>7.59-1.84</f>
        <v>5.75</v>
      </c>
      <c r="E666" s="17">
        <v>2.7</v>
      </c>
      <c r="F666" s="33">
        <v>1</v>
      </c>
      <c r="G666" s="45"/>
      <c r="H666" s="65"/>
      <c r="I666" s="42"/>
      <c r="J666" s="43"/>
      <c r="K666" s="43"/>
      <c r="L666" s="43">
        <f>C666</f>
        <v>15.525</v>
      </c>
      <c r="M666" s="43"/>
      <c r="N666" s="43"/>
      <c r="O666" s="43"/>
      <c r="P666" s="43"/>
      <c r="Q666" s="43"/>
    </row>
    <row r="667" spans="1:18" ht="14.4" x14ac:dyDescent="0.25">
      <c r="A667" s="150"/>
      <c r="B667" s="157"/>
      <c r="C667" s="34">
        <f t="shared" si="514"/>
        <v>4.9680000000000009</v>
      </c>
      <c r="D667" s="131">
        <v>1.84</v>
      </c>
      <c r="E667" s="17">
        <v>2.7</v>
      </c>
      <c r="F667" s="33">
        <v>1</v>
      </c>
      <c r="G667" s="45"/>
      <c r="H667" s="65">
        <f t="shared" ref="H667" si="589">C667</f>
        <v>4.9680000000000009</v>
      </c>
      <c r="I667" s="42">
        <f t="shared" ref="I667" si="590">H667-J667</f>
        <v>4.9680000000000009</v>
      </c>
      <c r="J667" s="43"/>
      <c r="K667" s="43"/>
      <c r="L667" s="43">
        <f t="shared" ref="L667" si="591">I667</f>
        <v>4.9680000000000009</v>
      </c>
      <c r="M667" s="43"/>
      <c r="N667" s="43"/>
      <c r="O667" s="43"/>
      <c r="P667" s="43"/>
      <c r="Q667" s="43"/>
    </row>
    <row r="668" spans="1:18" ht="14.4" x14ac:dyDescent="0.25">
      <c r="A668" s="150">
        <v>4.4000000000000004</v>
      </c>
      <c r="B668" s="15" t="s">
        <v>213</v>
      </c>
      <c r="C668" s="34">
        <f t="shared" si="514"/>
        <v>23.658300000000001</v>
      </c>
      <c r="D668" s="131">
        <v>8.73</v>
      </c>
      <c r="E668" s="17">
        <v>2.71</v>
      </c>
      <c r="F668" s="33">
        <v>1</v>
      </c>
      <c r="G668" s="45"/>
      <c r="H668" s="65"/>
      <c r="I668" s="42"/>
      <c r="J668" s="43"/>
      <c r="K668" s="43"/>
      <c r="L668" s="43"/>
      <c r="M668" s="43"/>
      <c r="N668" s="43"/>
      <c r="O668" s="43"/>
      <c r="P668" s="43">
        <f>C668</f>
        <v>23.658300000000001</v>
      </c>
      <c r="Q668" s="43"/>
    </row>
    <row r="669" spans="1:18" ht="14.4" x14ac:dyDescent="0.25">
      <c r="A669" s="150">
        <v>4.42</v>
      </c>
      <c r="B669" s="15" t="s">
        <v>213</v>
      </c>
      <c r="C669" s="34">
        <f t="shared" si="514"/>
        <v>47.424999999999997</v>
      </c>
      <c r="D669" s="131">
        <v>8.75</v>
      </c>
      <c r="E669" s="17">
        <v>2.71</v>
      </c>
      <c r="F669" s="33">
        <v>2</v>
      </c>
      <c r="G669" s="45"/>
      <c r="H669" s="65"/>
      <c r="I669" s="42"/>
      <c r="J669" s="43"/>
      <c r="K669" s="43"/>
      <c r="L669" s="43"/>
      <c r="M669" s="43"/>
      <c r="N669" s="43"/>
      <c r="O669" s="43"/>
      <c r="P669" s="43">
        <f t="shared" ref="P669:P670" si="592">C669</f>
        <v>47.424999999999997</v>
      </c>
      <c r="Q669" s="43"/>
    </row>
    <row r="670" spans="1:18" ht="14.4" x14ac:dyDescent="0.25">
      <c r="A670" s="150">
        <v>4.41</v>
      </c>
      <c r="B670" s="15" t="s">
        <v>213</v>
      </c>
      <c r="C670" s="34">
        <f t="shared" si="514"/>
        <v>47.316600000000001</v>
      </c>
      <c r="D670" s="131">
        <v>8.73</v>
      </c>
      <c r="E670" s="17">
        <v>2.71</v>
      </c>
      <c r="F670" s="33">
        <v>2</v>
      </c>
      <c r="G670" s="45"/>
      <c r="H670" s="65"/>
      <c r="I670" s="42"/>
      <c r="J670" s="43"/>
      <c r="K670" s="43"/>
      <c r="L670" s="43"/>
      <c r="M670" s="43"/>
      <c r="N670" s="43"/>
      <c r="O670" s="43"/>
      <c r="P670" s="43">
        <f t="shared" si="592"/>
        <v>47.316600000000001</v>
      </c>
      <c r="Q670" s="43"/>
    </row>
    <row r="671" spans="1:18" ht="14.4" x14ac:dyDescent="0.25">
      <c r="A671" s="150">
        <v>1.65</v>
      </c>
      <c r="B671" s="260" t="s">
        <v>229</v>
      </c>
      <c r="C671" s="34">
        <f t="shared" si="514"/>
        <v>29.8</v>
      </c>
      <c r="D671" s="131">
        <v>7.45</v>
      </c>
      <c r="E671" s="17">
        <v>4</v>
      </c>
      <c r="F671" s="33">
        <v>1</v>
      </c>
      <c r="G671" s="261"/>
      <c r="H671" s="65">
        <f t="shared" si="546"/>
        <v>29.8</v>
      </c>
      <c r="I671" s="42">
        <f t="shared" si="547"/>
        <v>29.8</v>
      </c>
      <c r="J671" s="43"/>
      <c r="K671" s="43"/>
      <c r="L671" s="43">
        <f t="shared" si="548"/>
        <v>29.8</v>
      </c>
      <c r="M671" s="43"/>
      <c r="N671" s="43"/>
      <c r="O671" s="43"/>
      <c r="P671" s="43"/>
      <c r="Q671" s="43"/>
    </row>
    <row r="672" spans="1:18" ht="19.95" customHeight="1" x14ac:dyDescent="0.25">
      <c r="A672" s="151"/>
      <c r="B672" s="256" t="s">
        <v>22</v>
      </c>
      <c r="C672" s="255">
        <f>SUM(C580:C671)</f>
        <v>2274.8357000000005</v>
      </c>
      <c r="D672" s="255"/>
      <c r="E672" s="255"/>
      <c r="F672" s="255"/>
      <c r="G672" s="255"/>
      <c r="H672" s="255">
        <f t="shared" ref="H672:Q672" si="593">SUM(H580:H671)</f>
        <v>408.51329999999996</v>
      </c>
      <c r="I672" s="255">
        <f t="shared" si="593"/>
        <v>347.80799999999999</v>
      </c>
      <c r="J672" s="255">
        <f t="shared" si="593"/>
        <v>60.705300000000008</v>
      </c>
      <c r="K672" s="255">
        <f t="shared" si="593"/>
        <v>122.715</v>
      </c>
      <c r="L672" s="255">
        <f t="shared" si="593"/>
        <v>1552.8670000000002</v>
      </c>
      <c r="M672" s="255">
        <f t="shared" si="593"/>
        <v>61.209000000000003</v>
      </c>
      <c r="N672" s="255">
        <f t="shared" si="593"/>
        <v>0</v>
      </c>
      <c r="O672" s="255">
        <f t="shared" si="593"/>
        <v>0</v>
      </c>
      <c r="P672" s="255">
        <f t="shared" si="593"/>
        <v>478.86579999999998</v>
      </c>
      <c r="Q672" s="255">
        <f t="shared" si="593"/>
        <v>55.798899999999996</v>
      </c>
      <c r="R672" s="1"/>
    </row>
    <row r="673" spans="1:18" ht="19.95" customHeight="1" x14ac:dyDescent="0.25">
      <c r="A673" s="151"/>
      <c r="B673" s="257"/>
      <c r="C673" s="127"/>
      <c r="D673" s="127"/>
      <c r="E673" s="127"/>
      <c r="F673" s="127"/>
      <c r="G673" s="127"/>
      <c r="H673" s="127"/>
      <c r="I673" s="127"/>
      <c r="J673" s="127"/>
      <c r="K673" s="127"/>
      <c r="L673" s="258">
        <v>1</v>
      </c>
      <c r="M673" s="258">
        <v>4</v>
      </c>
      <c r="N673" s="258">
        <v>5</v>
      </c>
      <c r="O673" s="258">
        <v>6</v>
      </c>
      <c r="P673" s="258">
        <v>3</v>
      </c>
      <c r="Q673" s="259">
        <v>2</v>
      </c>
    </row>
    <row r="674" spans="1:18" ht="40.049999999999997" customHeight="1" x14ac:dyDescent="0.25">
      <c r="B674" s="843" t="s">
        <v>16</v>
      </c>
      <c r="C674" s="839" t="s">
        <v>17</v>
      </c>
      <c r="D674" s="839" t="s">
        <v>18</v>
      </c>
      <c r="E674" s="839" t="s">
        <v>28</v>
      </c>
      <c r="F674" s="842" t="s">
        <v>19</v>
      </c>
      <c r="G674" s="842" t="s">
        <v>13</v>
      </c>
      <c r="H674" s="842" t="s">
        <v>24</v>
      </c>
      <c r="I674" s="842" t="s">
        <v>45</v>
      </c>
      <c r="J674" s="842" t="s">
        <v>26</v>
      </c>
      <c r="K674" s="844" t="s">
        <v>864</v>
      </c>
      <c r="L674" s="842" t="s">
        <v>69</v>
      </c>
      <c r="M674" s="842" t="s">
        <v>73</v>
      </c>
      <c r="N674" s="842" t="s">
        <v>76</v>
      </c>
      <c r="O674" s="842" t="s">
        <v>77</v>
      </c>
      <c r="P674" s="842" t="s">
        <v>72</v>
      </c>
      <c r="Q674" s="842" t="s">
        <v>70</v>
      </c>
    </row>
    <row r="675" spans="1:18" ht="40.049999999999997" customHeight="1" x14ac:dyDescent="0.25">
      <c r="B675" s="840"/>
      <c r="C675" s="841"/>
      <c r="D675" s="841"/>
      <c r="E675" s="841"/>
      <c r="F675" s="839"/>
      <c r="G675" s="839"/>
      <c r="H675" s="839"/>
      <c r="I675" s="839"/>
      <c r="J675" s="839"/>
      <c r="K675" s="845"/>
      <c r="L675" s="839"/>
      <c r="M675" s="839"/>
      <c r="N675" s="839"/>
      <c r="O675" s="839"/>
      <c r="P675" s="839"/>
      <c r="Q675" s="839"/>
    </row>
    <row r="676" spans="1:18" ht="15.6" x14ac:dyDescent="0.25">
      <c r="A676" s="141" t="s">
        <v>68</v>
      </c>
      <c r="B676" s="59" t="s">
        <v>63</v>
      </c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1"/>
    </row>
    <row r="677" spans="1:18" ht="14.4" x14ac:dyDescent="0.25">
      <c r="A677" s="560">
        <v>11.67</v>
      </c>
      <c r="B677" s="220" t="s">
        <v>168</v>
      </c>
      <c r="C677" s="34">
        <f t="shared" ref="C677:C686" si="594">D677*E677*F677-G677</f>
        <v>22.817000000000004</v>
      </c>
      <c r="D677" s="576">
        <f>14.83-4.52</f>
        <v>10.31</v>
      </c>
      <c r="E677" s="578">
        <v>2.7</v>
      </c>
      <c r="F677" s="567">
        <v>1</v>
      </c>
      <c r="G677" s="575">
        <v>5.0199999999999996</v>
      </c>
      <c r="H677" s="65">
        <f t="shared" ref="H677" si="595">C677</f>
        <v>22.817000000000004</v>
      </c>
      <c r="I677" s="42">
        <f t="shared" ref="I677" si="596">H677-J677</f>
        <v>22.817000000000004</v>
      </c>
      <c r="J677" s="43"/>
      <c r="K677" s="43"/>
      <c r="L677" s="43">
        <f>I677</f>
        <v>22.817000000000004</v>
      </c>
      <c r="M677" s="575"/>
      <c r="N677" s="575"/>
      <c r="O677" s="575"/>
      <c r="P677" s="575"/>
      <c r="Q677" s="575"/>
    </row>
    <row r="678" spans="1:18" ht="14.4" x14ac:dyDescent="0.25">
      <c r="A678" s="559"/>
      <c r="B678" s="157"/>
      <c r="C678" s="34">
        <f t="shared" si="594"/>
        <v>3.5939999999999994</v>
      </c>
      <c r="D678" s="576">
        <v>4.5199999999999996</v>
      </c>
      <c r="E678" s="578">
        <v>2.7</v>
      </c>
      <c r="F678" s="567">
        <v>1</v>
      </c>
      <c r="G678" s="575">
        <v>8.61</v>
      </c>
      <c r="H678" s="575"/>
      <c r="I678" s="575"/>
      <c r="J678" s="575"/>
      <c r="K678" s="575"/>
      <c r="L678" s="578">
        <f>C678</f>
        <v>3.5939999999999994</v>
      </c>
      <c r="M678" s="575"/>
      <c r="N678" s="575"/>
      <c r="O678" s="575"/>
      <c r="P678" s="575"/>
      <c r="Q678" s="575"/>
    </row>
    <row r="679" spans="1:18" ht="14.4" x14ac:dyDescent="0.25">
      <c r="A679" s="560">
        <v>29.81</v>
      </c>
      <c r="B679" s="220" t="s">
        <v>258</v>
      </c>
      <c r="C679" s="34">
        <f t="shared" si="594"/>
        <v>59.216999999999999</v>
      </c>
      <c r="D679" s="576">
        <f>27.77-2.26</f>
        <v>25.509999999999998</v>
      </c>
      <c r="E679" s="578">
        <v>2.7</v>
      </c>
      <c r="F679" s="567">
        <v>1</v>
      </c>
      <c r="G679" s="575">
        <v>9.66</v>
      </c>
      <c r="H679" s="65">
        <f t="shared" ref="H679" si="597">C679</f>
        <v>59.216999999999999</v>
      </c>
      <c r="I679" s="42">
        <f t="shared" ref="I679" si="598">H679-J679</f>
        <v>59.216999999999999</v>
      </c>
      <c r="J679" s="43"/>
      <c r="K679" s="43"/>
      <c r="L679" s="43">
        <f>I679</f>
        <v>59.216999999999999</v>
      </c>
      <c r="M679" s="575"/>
      <c r="N679" s="575"/>
      <c r="O679" s="575"/>
      <c r="P679" s="575"/>
      <c r="Q679" s="575"/>
    </row>
    <row r="680" spans="1:18" ht="14.4" x14ac:dyDescent="0.25">
      <c r="A680" s="559"/>
      <c r="B680" s="157"/>
      <c r="C680" s="34">
        <f t="shared" si="594"/>
        <v>1.6919999999999993</v>
      </c>
      <c r="D680" s="576">
        <v>2.2599999999999998</v>
      </c>
      <c r="E680" s="578">
        <v>2.7</v>
      </c>
      <c r="F680" s="567">
        <v>1</v>
      </c>
      <c r="G680" s="575">
        <v>4.41</v>
      </c>
      <c r="H680" s="575"/>
      <c r="I680" s="575"/>
      <c r="J680" s="575"/>
      <c r="K680" s="575"/>
      <c r="L680" s="578">
        <f>C680</f>
        <v>1.6919999999999993</v>
      </c>
      <c r="M680" s="575"/>
      <c r="N680" s="575"/>
      <c r="O680" s="575"/>
      <c r="P680" s="575"/>
      <c r="Q680" s="575"/>
    </row>
    <row r="681" spans="1:18" ht="14.4" x14ac:dyDescent="0.25">
      <c r="A681" s="559">
        <v>43.75</v>
      </c>
      <c r="B681" s="157" t="s">
        <v>346</v>
      </c>
      <c r="C681" s="34">
        <f t="shared" si="594"/>
        <v>91.34</v>
      </c>
      <c r="D681" s="578">
        <v>28.1</v>
      </c>
      <c r="E681" s="578">
        <v>3.4</v>
      </c>
      <c r="F681" s="567">
        <v>1</v>
      </c>
      <c r="G681" s="600">
        <v>4.2</v>
      </c>
      <c r="H681" s="65">
        <f t="shared" ref="H681" si="599">C681</f>
        <v>91.34</v>
      </c>
      <c r="I681" s="42">
        <f t="shared" ref="I681" si="600">H681-J681</f>
        <v>91.34</v>
      </c>
      <c r="J681" s="575"/>
      <c r="K681" s="575"/>
      <c r="L681" s="576"/>
      <c r="M681" s="578">
        <f>I681</f>
        <v>91.34</v>
      </c>
      <c r="N681" s="575"/>
      <c r="O681" s="575"/>
      <c r="P681" s="575"/>
      <c r="Q681" s="575"/>
    </row>
    <row r="682" spans="1:18" ht="14.4" x14ac:dyDescent="0.25">
      <c r="A682" s="559">
        <v>7.45</v>
      </c>
      <c r="B682" s="157" t="s">
        <v>724</v>
      </c>
      <c r="C682" s="34">
        <f t="shared" si="594"/>
        <v>49.185000000000002</v>
      </c>
      <c r="D682" s="576">
        <v>10.93</v>
      </c>
      <c r="E682" s="578">
        <v>4.5</v>
      </c>
      <c r="F682" s="567">
        <v>1</v>
      </c>
      <c r="G682" s="600"/>
      <c r="H682" s="575"/>
      <c r="I682" s="575"/>
      <c r="J682" s="575"/>
      <c r="K682" s="575"/>
      <c r="L682" s="576"/>
      <c r="M682" s="575"/>
      <c r="N682" s="575"/>
      <c r="O682" s="575"/>
      <c r="P682" s="575"/>
      <c r="Q682" s="575"/>
    </row>
    <row r="683" spans="1:18" ht="14.4" x14ac:dyDescent="0.25">
      <c r="A683" s="559">
        <v>8.23</v>
      </c>
      <c r="B683" s="157" t="s">
        <v>725</v>
      </c>
      <c r="C683" s="34">
        <f t="shared" si="594"/>
        <v>52.02</v>
      </c>
      <c r="D683" s="576">
        <v>11.56</v>
      </c>
      <c r="E683" s="578">
        <v>4.5</v>
      </c>
      <c r="F683" s="567">
        <v>1</v>
      </c>
      <c r="G683" s="600"/>
      <c r="H683" s="575"/>
      <c r="I683" s="575"/>
      <c r="J683" s="575"/>
      <c r="K683" s="575"/>
      <c r="L683" s="576"/>
      <c r="M683" s="575"/>
      <c r="N683" s="575"/>
      <c r="O683" s="575"/>
      <c r="P683" s="575"/>
      <c r="Q683" s="575"/>
    </row>
    <row r="684" spans="1:18" ht="14.4" x14ac:dyDescent="0.25">
      <c r="A684" s="563">
        <v>3.9</v>
      </c>
      <c r="B684" s="157" t="s">
        <v>726</v>
      </c>
      <c r="C684" s="34">
        <f t="shared" si="594"/>
        <v>37.484999999999999</v>
      </c>
      <c r="D684" s="576">
        <v>8.33</v>
      </c>
      <c r="E684" s="578">
        <v>4.5</v>
      </c>
      <c r="F684" s="567">
        <v>1</v>
      </c>
      <c r="G684" s="600"/>
      <c r="H684" s="65">
        <f t="shared" ref="H684" si="601">C684</f>
        <v>37.484999999999999</v>
      </c>
      <c r="I684" s="42">
        <f t="shared" ref="I684" si="602">H684-J684</f>
        <v>37.484999999999999</v>
      </c>
      <c r="J684" s="575"/>
      <c r="K684" s="575"/>
      <c r="L684" s="575"/>
      <c r="M684" s="575"/>
      <c r="N684" s="575"/>
      <c r="O684" s="575"/>
      <c r="P684" s="575"/>
      <c r="Q684" s="575"/>
    </row>
    <row r="685" spans="1:18" ht="14.4" x14ac:dyDescent="0.25">
      <c r="A685" s="563">
        <v>3.28</v>
      </c>
      <c r="B685" s="157" t="s">
        <v>229</v>
      </c>
      <c r="C685" s="34">
        <f t="shared" si="594"/>
        <v>69.75</v>
      </c>
      <c r="D685" s="578">
        <v>15.5</v>
      </c>
      <c r="E685" s="578">
        <v>4.5</v>
      </c>
      <c r="F685" s="33">
        <v>1</v>
      </c>
      <c r="G685" s="615"/>
      <c r="H685" s="65">
        <f t="shared" ref="H685:H686" si="603">C685</f>
        <v>69.75</v>
      </c>
      <c r="I685" s="42">
        <f t="shared" ref="I685:I686" si="604">H685-J685</f>
        <v>69.75</v>
      </c>
      <c r="J685" s="575"/>
      <c r="K685" s="575"/>
      <c r="L685" s="575"/>
      <c r="M685" s="575"/>
      <c r="N685" s="575"/>
      <c r="O685" s="575"/>
      <c r="P685" s="575"/>
      <c r="Q685" s="575"/>
    </row>
    <row r="686" spans="1:18" ht="14.4" x14ac:dyDescent="0.25">
      <c r="A686" s="563">
        <v>0.56000000000000005</v>
      </c>
      <c r="B686" s="157" t="s">
        <v>229</v>
      </c>
      <c r="C686" s="34">
        <f t="shared" si="594"/>
        <v>22.905000000000001</v>
      </c>
      <c r="D686" s="576">
        <v>5.09</v>
      </c>
      <c r="E686" s="578">
        <v>4.5</v>
      </c>
      <c r="F686" s="33">
        <v>1</v>
      </c>
      <c r="G686" s="615"/>
      <c r="H686" s="65">
        <f t="shared" si="603"/>
        <v>22.905000000000001</v>
      </c>
      <c r="I686" s="42">
        <f t="shared" si="604"/>
        <v>22.905000000000001</v>
      </c>
      <c r="J686" s="575"/>
      <c r="K686" s="575"/>
      <c r="L686" s="575"/>
      <c r="M686" s="575"/>
      <c r="N686" s="575"/>
      <c r="O686" s="575"/>
      <c r="P686" s="575"/>
      <c r="Q686" s="575"/>
    </row>
    <row r="687" spans="1:18" ht="14.4" x14ac:dyDescent="0.25">
      <c r="A687" s="219">
        <v>18.98</v>
      </c>
      <c r="B687" s="220" t="s">
        <v>205</v>
      </c>
      <c r="C687" s="34">
        <f t="shared" ref="C687:C760" si="605">D687*E687*F687-G687</f>
        <v>12.948</v>
      </c>
      <c r="D687" s="131">
        <f>17.93-9.69</f>
        <v>8.24</v>
      </c>
      <c r="E687" s="17">
        <v>2.7</v>
      </c>
      <c r="F687" s="33">
        <v>1</v>
      </c>
      <c r="G687" s="45">
        <v>9.3000000000000007</v>
      </c>
      <c r="H687" s="65"/>
      <c r="I687" s="42"/>
      <c r="J687" s="43"/>
      <c r="K687" s="43"/>
      <c r="L687" s="43">
        <f>C687</f>
        <v>12.948</v>
      </c>
      <c r="M687" s="43"/>
      <c r="N687" s="43"/>
      <c r="O687" s="43"/>
      <c r="P687" s="43"/>
      <c r="Q687" s="43"/>
    </row>
    <row r="688" spans="1:18" ht="14.4" x14ac:dyDescent="0.25">
      <c r="A688" s="150"/>
      <c r="B688" s="157"/>
      <c r="C688" s="34">
        <f t="shared" si="605"/>
        <v>26.163</v>
      </c>
      <c r="D688" s="131">
        <v>9.69</v>
      </c>
      <c r="E688" s="17">
        <v>2.7</v>
      </c>
      <c r="F688" s="33">
        <v>1</v>
      </c>
      <c r="G688" s="45"/>
      <c r="H688" s="65">
        <f t="shared" ref="H688" si="606">C688</f>
        <v>26.163</v>
      </c>
      <c r="I688" s="42">
        <f t="shared" ref="I688" si="607">H688-J688</f>
        <v>26.163</v>
      </c>
      <c r="J688" s="43"/>
      <c r="K688" s="43"/>
      <c r="L688" s="43">
        <f>I688</f>
        <v>26.163</v>
      </c>
      <c r="M688" s="43"/>
      <c r="N688" s="43"/>
      <c r="O688" s="43"/>
      <c r="P688" s="43"/>
      <c r="Q688" s="43"/>
    </row>
    <row r="689" spans="1:17" ht="14.4" x14ac:dyDescent="0.25">
      <c r="A689" s="150">
        <v>0.45</v>
      </c>
      <c r="B689" s="15" t="s">
        <v>229</v>
      </c>
      <c r="C689" s="34">
        <f t="shared" si="605"/>
        <v>3.4299999999999993</v>
      </c>
      <c r="D689" s="131">
        <f>3.86-2.04</f>
        <v>1.8199999999999998</v>
      </c>
      <c r="E689" s="17">
        <v>4</v>
      </c>
      <c r="F689" s="33">
        <v>1</v>
      </c>
      <c r="G689" s="45">
        <v>3.85</v>
      </c>
      <c r="H689" s="65"/>
      <c r="I689" s="42"/>
      <c r="J689" s="43"/>
      <c r="K689" s="43"/>
      <c r="L689" s="43">
        <f>C689</f>
        <v>3.4299999999999993</v>
      </c>
      <c r="M689" s="43"/>
      <c r="N689" s="43"/>
      <c r="O689" s="43"/>
      <c r="P689" s="43"/>
      <c r="Q689" s="43"/>
    </row>
    <row r="690" spans="1:17" ht="14.4" x14ac:dyDescent="0.25">
      <c r="A690" s="150"/>
      <c r="B690" s="15"/>
      <c r="C690" s="34">
        <f t="shared" si="605"/>
        <v>8.16</v>
      </c>
      <c r="D690" s="131">
        <v>2.04</v>
      </c>
      <c r="E690" s="17">
        <v>4</v>
      </c>
      <c r="F690" s="33">
        <v>1</v>
      </c>
      <c r="G690" s="45"/>
      <c r="H690" s="65">
        <f t="shared" ref="H690" si="608">C690</f>
        <v>8.16</v>
      </c>
      <c r="I690" s="42">
        <f t="shared" ref="I690" si="609">H690-J690</f>
        <v>8.16</v>
      </c>
      <c r="J690" s="43"/>
      <c r="K690" s="43"/>
      <c r="L690" s="43">
        <f t="shared" ref="L690" si="610">I690</f>
        <v>8.16</v>
      </c>
      <c r="M690" s="43"/>
      <c r="N690" s="43"/>
      <c r="O690" s="43"/>
      <c r="P690" s="43"/>
      <c r="Q690" s="43"/>
    </row>
    <row r="691" spans="1:17" ht="14.4" x14ac:dyDescent="0.25">
      <c r="A691" s="150">
        <v>8.68</v>
      </c>
      <c r="B691" s="15" t="s">
        <v>168</v>
      </c>
      <c r="C691" s="34">
        <f t="shared" si="605"/>
        <v>23.698</v>
      </c>
      <c r="D691" s="131">
        <f>17.36-(2.83+3.49)</f>
        <v>11.04</v>
      </c>
      <c r="E691" s="17">
        <v>2.7</v>
      </c>
      <c r="F691" s="33">
        <v>1</v>
      </c>
      <c r="G691" s="45">
        <v>6.11</v>
      </c>
      <c r="H691" s="65"/>
      <c r="I691" s="42"/>
      <c r="J691" s="43"/>
      <c r="K691" s="43"/>
      <c r="L691" s="43">
        <f>C691</f>
        <v>23.698</v>
      </c>
      <c r="M691" s="43"/>
      <c r="N691" s="43"/>
      <c r="O691" s="43"/>
      <c r="P691" s="43"/>
      <c r="Q691" s="43"/>
    </row>
    <row r="692" spans="1:17" ht="14.4" x14ac:dyDescent="0.25">
      <c r="A692" s="150"/>
      <c r="B692" s="15"/>
      <c r="C692" s="34">
        <f t="shared" si="605"/>
        <v>9.4230000000000018</v>
      </c>
      <c r="D692" s="131">
        <v>3.49</v>
      </c>
      <c r="E692" s="17">
        <v>2.7</v>
      </c>
      <c r="F692" s="33">
        <v>1</v>
      </c>
      <c r="G692" s="45"/>
      <c r="H692" s="65">
        <f t="shared" ref="H692" si="611">C692</f>
        <v>9.4230000000000018</v>
      </c>
      <c r="I692" s="42">
        <f t="shared" ref="I692" si="612">H692-J692</f>
        <v>9.4230000000000018</v>
      </c>
      <c r="J692" s="43"/>
      <c r="K692" s="43"/>
      <c r="L692" s="43">
        <f t="shared" ref="L692" si="613">I692</f>
        <v>9.4230000000000018</v>
      </c>
      <c r="M692" s="43"/>
      <c r="N692" s="43"/>
      <c r="O692" s="43"/>
      <c r="P692" s="43"/>
      <c r="Q692" s="43"/>
    </row>
    <row r="693" spans="1:17" ht="14.4" x14ac:dyDescent="0.25">
      <c r="A693" s="150">
        <v>3.03</v>
      </c>
      <c r="B693" s="15" t="s">
        <v>229</v>
      </c>
      <c r="C693" s="34">
        <f t="shared" si="605"/>
        <v>15.810000000000002</v>
      </c>
      <c r="D693" s="131">
        <f>8.51-3.03</f>
        <v>5.48</v>
      </c>
      <c r="E693" s="17">
        <v>4</v>
      </c>
      <c r="F693" s="33">
        <v>1</v>
      </c>
      <c r="G693" s="45">
        <v>6.11</v>
      </c>
      <c r="H693" s="65"/>
      <c r="I693" s="42"/>
      <c r="J693" s="43"/>
      <c r="K693" s="43"/>
      <c r="L693" s="43">
        <f>C693</f>
        <v>15.810000000000002</v>
      </c>
      <c r="M693" s="43"/>
      <c r="N693" s="43"/>
      <c r="O693" s="43"/>
      <c r="P693" s="43"/>
      <c r="Q693" s="43"/>
    </row>
    <row r="694" spans="1:17" ht="14.4" x14ac:dyDescent="0.25">
      <c r="A694" s="150"/>
      <c r="B694" s="15"/>
      <c r="C694" s="34">
        <f t="shared" si="605"/>
        <v>12.12</v>
      </c>
      <c r="D694" s="131">
        <v>3.03</v>
      </c>
      <c r="E694" s="17">
        <v>4</v>
      </c>
      <c r="F694" s="33">
        <v>1</v>
      </c>
      <c r="G694" s="45"/>
      <c r="H694" s="65">
        <f t="shared" ref="H694" si="614">C694</f>
        <v>12.12</v>
      </c>
      <c r="I694" s="42">
        <f t="shared" ref="I694" si="615">H694-J694</f>
        <v>12.12</v>
      </c>
      <c r="J694" s="43"/>
      <c r="K694" s="43"/>
      <c r="L694" s="43">
        <f t="shared" ref="L694" si="616">I694</f>
        <v>12.12</v>
      </c>
      <c r="M694" s="43"/>
      <c r="N694" s="43"/>
      <c r="O694" s="43"/>
      <c r="P694" s="43"/>
      <c r="Q694" s="43"/>
    </row>
    <row r="695" spans="1:17" ht="14.4" x14ac:dyDescent="0.25">
      <c r="A695" s="219">
        <v>16.86</v>
      </c>
      <c r="B695" s="220" t="s">
        <v>244</v>
      </c>
      <c r="C695" s="34">
        <f t="shared" si="605"/>
        <v>18.549000000000003</v>
      </c>
      <c r="D695" s="131">
        <f>17.23-(5.83+4.53)</f>
        <v>6.870000000000001</v>
      </c>
      <c r="E695" s="17">
        <v>2.7</v>
      </c>
      <c r="F695" s="33">
        <v>1</v>
      </c>
      <c r="G695" s="45"/>
      <c r="H695" s="65"/>
      <c r="I695" s="42"/>
      <c r="J695" s="43"/>
      <c r="K695" s="43"/>
      <c r="L695" s="43">
        <f>C695</f>
        <v>18.549000000000003</v>
      </c>
      <c r="M695" s="43"/>
      <c r="N695" s="43"/>
      <c r="O695" s="43"/>
      <c r="P695" s="43"/>
      <c r="Q695" s="43"/>
    </row>
    <row r="696" spans="1:17" ht="14.4" x14ac:dyDescent="0.25">
      <c r="A696" s="150"/>
      <c r="B696" s="15" t="s">
        <v>244</v>
      </c>
      <c r="C696" s="34">
        <f t="shared" si="605"/>
        <v>2.42</v>
      </c>
      <c r="D696" s="131">
        <v>2.42</v>
      </c>
      <c r="E696" s="17">
        <v>1</v>
      </c>
      <c r="F696" s="33">
        <v>1</v>
      </c>
      <c r="G696" s="45"/>
      <c r="H696" s="488">
        <f t="shared" ref="H696:H760" si="617">C696</f>
        <v>2.42</v>
      </c>
      <c r="I696" s="42"/>
      <c r="J696" s="43">
        <f t="shared" ref="J696:J699" si="618">H696-I696</f>
        <v>2.42</v>
      </c>
      <c r="K696" s="43"/>
      <c r="L696" s="43"/>
      <c r="M696" s="43"/>
      <c r="N696" s="43"/>
      <c r="O696" s="43"/>
      <c r="P696" s="43">
        <f>J696</f>
        <v>2.42</v>
      </c>
      <c r="Q696" s="43"/>
    </row>
    <row r="697" spans="1:17" ht="14.4" x14ac:dyDescent="0.25">
      <c r="A697" s="150"/>
      <c r="B697" s="15"/>
      <c r="C697" s="34">
        <f t="shared" si="605"/>
        <v>12.231000000000002</v>
      </c>
      <c r="D697" s="131">
        <v>4.53</v>
      </c>
      <c r="E697" s="17">
        <v>2.7</v>
      </c>
      <c r="F697" s="33">
        <v>1</v>
      </c>
      <c r="G697" s="45"/>
      <c r="H697" s="65">
        <f t="shared" ref="H697" si="619">C697</f>
        <v>12.231000000000002</v>
      </c>
      <c r="I697" s="42">
        <f t="shared" ref="I697" si="620">H697-J697</f>
        <v>12.231000000000002</v>
      </c>
      <c r="J697" s="43"/>
      <c r="K697" s="43"/>
      <c r="L697" s="43">
        <f t="shared" ref="L697" si="621">I697</f>
        <v>12.231000000000002</v>
      </c>
      <c r="M697" s="43"/>
      <c r="N697" s="43"/>
      <c r="O697" s="43"/>
      <c r="P697" s="43"/>
      <c r="Q697" s="43"/>
    </row>
    <row r="698" spans="1:17" ht="14.4" x14ac:dyDescent="0.25">
      <c r="A698" s="219">
        <v>10.63</v>
      </c>
      <c r="B698" s="220" t="s">
        <v>168</v>
      </c>
      <c r="C698" s="34">
        <f t="shared" si="605"/>
        <v>10.303000000000001</v>
      </c>
      <c r="D698" s="131">
        <f>13.09-6</f>
        <v>7.09</v>
      </c>
      <c r="E698" s="17">
        <v>2.7</v>
      </c>
      <c r="F698" s="33">
        <v>1</v>
      </c>
      <c r="G698" s="45">
        <v>8.84</v>
      </c>
      <c r="H698" s="65"/>
      <c r="I698" s="42"/>
      <c r="J698" s="43"/>
      <c r="K698" s="43"/>
      <c r="L698" s="43">
        <f>C698</f>
        <v>10.303000000000001</v>
      </c>
      <c r="M698" s="43"/>
      <c r="N698" s="43"/>
      <c r="O698" s="43"/>
      <c r="P698" s="43"/>
      <c r="Q698" s="43"/>
    </row>
    <row r="699" spans="1:17" ht="14.4" x14ac:dyDescent="0.25">
      <c r="A699" s="150"/>
      <c r="B699" s="157" t="s">
        <v>168</v>
      </c>
      <c r="C699" s="34">
        <f t="shared" si="605"/>
        <v>3.6</v>
      </c>
      <c r="D699" s="131">
        <v>3.6</v>
      </c>
      <c r="E699" s="17">
        <v>1</v>
      </c>
      <c r="F699" s="33">
        <v>1</v>
      </c>
      <c r="G699" s="45"/>
      <c r="H699" s="488">
        <f t="shared" si="617"/>
        <v>3.6</v>
      </c>
      <c r="I699" s="42"/>
      <c r="J699" s="43">
        <f t="shared" si="618"/>
        <v>3.6</v>
      </c>
      <c r="K699" s="43"/>
      <c r="L699" s="43"/>
      <c r="M699" s="43"/>
      <c r="N699" s="43"/>
      <c r="O699" s="43"/>
      <c r="P699" s="43">
        <f>J699</f>
        <v>3.6</v>
      </c>
      <c r="Q699" s="43"/>
    </row>
    <row r="700" spans="1:17" ht="14.4" x14ac:dyDescent="0.25">
      <c r="A700" s="150">
        <v>1.1000000000000001</v>
      </c>
      <c r="B700" s="15" t="s">
        <v>229</v>
      </c>
      <c r="C700" s="34">
        <f t="shared" si="605"/>
        <v>7.3200000000000038</v>
      </c>
      <c r="D700" s="131">
        <f>7.44-3.4</f>
        <v>4.0400000000000009</v>
      </c>
      <c r="E700" s="17">
        <v>4</v>
      </c>
      <c r="F700" s="33">
        <v>1</v>
      </c>
      <c r="G700" s="45">
        <v>8.84</v>
      </c>
      <c r="H700" s="65"/>
      <c r="I700" s="42"/>
      <c r="J700" s="43"/>
      <c r="K700" s="43"/>
      <c r="L700" s="43">
        <f>C700</f>
        <v>7.3200000000000038</v>
      </c>
      <c r="M700" s="43"/>
      <c r="N700" s="43"/>
      <c r="O700" s="43"/>
      <c r="P700" s="43"/>
      <c r="Q700" s="43"/>
    </row>
    <row r="701" spans="1:17" ht="14.4" x14ac:dyDescent="0.25">
      <c r="A701" s="150"/>
      <c r="B701" s="15"/>
      <c r="C701" s="34">
        <f t="shared" si="605"/>
        <v>13.6</v>
      </c>
      <c r="D701" s="131">
        <v>3.4</v>
      </c>
      <c r="E701" s="17">
        <v>4</v>
      </c>
      <c r="F701" s="33">
        <v>1</v>
      </c>
      <c r="G701" s="45"/>
      <c r="H701" s="65">
        <f t="shared" ref="H701" si="622">C701</f>
        <v>13.6</v>
      </c>
      <c r="I701" s="42">
        <f t="shared" ref="I701" si="623">H701-J701</f>
        <v>13.6</v>
      </c>
      <c r="J701" s="43"/>
      <c r="K701" s="43"/>
      <c r="L701" s="43">
        <f t="shared" ref="L701" si="624">I701</f>
        <v>13.6</v>
      </c>
      <c r="M701" s="43"/>
      <c r="N701" s="43"/>
      <c r="O701" s="43"/>
      <c r="P701" s="43"/>
      <c r="Q701" s="43"/>
    </row>
    <row r="702" spans="1:17" ht="14.4" x14ac:dyDescent="0.25">
      <c r="A702" s="150">
        <v>12.11</v>
      </c>
      <c r="B702" s="15" t="s">
        <v>245</v>
      </c>
      <c r="C702" s="34">
        <f t="shared" si="605"/>
        <v>27.189000000000004</v>
      </c>
      <c r="D702" s="131">
        <f>14.39-4.32</f>
        <v>10.07</v>
      </c>
      <c r="E702" s="17">
        <v>2.7</v>
      </c>
      <c r="F702" s="33">
        <v>1</v>
      </c>
      <c r="G702" s="45"/>
      <c r="H702" s="65"/>
      <c r="I702" s="42"/>
      <c r="J702" s="43"/>
      <c r="K702" s="43"/>
      <c r="L702" s="43">
        <f>C702</f>
        <v>27.189000000000004</v>
      </c>
      <c r="M702" s="43"/>
      <c r="N702" s="43"/>
      <c r="O702" s="43"/>
      <c r="P702" s="43"/>
      <c r="Q702" s="43"/>
    </row>
    <row r="703" spans="1:17" ht="14.4" x14ac:dyDescent="0.25">
      <c r="A703" s="150"/>
      <c r="B703" s="15"/>
      <c r="C703" s="34">
        <f t="shared" si="605"/>
        <v>11.664000000000001</v>
      </c>
      <c r="D703" s="131">
        <v>4.32</v>
      </c>
      <c r="E703" s="17">
        <v>2.7</v>
      </c>
      <c r="F703" s="33">
        <v>1</v>
      </c>
      <c r="G703" s="45"/>
      <c r="H703" s="65">
        <f t="shared" ref="H703" si="625">C703</f>
        <v>11.664000000000001</v>
      </c>
      <c r="I703" s="42">
        <f t="shared" ref="I703" si="626">H703-J703</f>
        <v>11.664000000000001</v>
      </c>
      <c r="J703" s="43"/>
      <c r="K703" s="43"/>
      <c r="L703" s="43">
        <f t="shared" ref="L703" si="627">I703</f>
        <v>11.664000000000001</v>
      </c>
      <c r="M703" s="43"/>
      <c r="N703" s="43"/>
      <c r="O703" s="43"/>
      <c r="P703" s="43"/>
      <c r="Q703" s="43"/>
    </row>
    <row r="704" spans="1:17" ht="14.4" x14ac:dyDescent="0.25">
      <c r="A704" s="219">
        <v>10.18</v>
      </c>
      <c r="B704" s="220" t="s">
        <v>246</v>
      </c>
      <c r="C704" s="34">
        <f t="shared" si="605"/>
        <v>29.997</v>
      </c>
      <c r="D704" s="131">
        <f>13.45-2.34</f>
        <v>11.11</v>
      </c>
      <c r="E704" s="17">
        <v>2.7</v>
      </c>
      <c r="F704" s="33">
        <v>1</v>
      </c>
      <c r="G704" s="45"/>
      <c r="H704" s="65"/>
      <c r="I704" s="42"/>
      <c r="J704" s="43"/>
      <c r="K704" s="43"/>
      <c r="L704" s="43">
        <f>C704</f>
        <v>29.997</v>
      </c>
      <c r="M704" s="43"/>
      <c r="N704" s="43"/>
      <c r="O704" s="43"/>
      <c r="P704" s="43"/>
      <c r="Q704" s="43"/>
    </row>
    <row r="705" spans="1:17" ht="14.4" x14ac:dyDescent="0.25">
      <c r="A705" s="150"/>
      <c r="B705" s="15" t="s">
        <v>246</v>
      </c>
      <c r="C705" s="34">
        <f t="shared" si="605"/>
        <v>11.06</v>
      </c>
      <c r="D705" s="131">
        <v>11.06</v>
      </c>
      <c r="E705" s="17">
        <v>1</v>
      </c>
      <c r="F705" s="33">
        <v>1</v>
      </c>
      <c r="G705" s="45"/>
      <c r="H705" s="488">
        <f t="shared" si="617"/>
        <v>11.06</v>
      </c>
      <c r="I705" s="42"/>
      <c r="J705" s="43">
        <f t="shared" ref="J705" si="628">H705-I705</f>
        <v>11.06</v>
      </c>
      <c r="K705" s="43"/>
      <c r="L705" s="43"/>
      <c r="M705" s="43"/>
      <c r="N705" s="43"/>
      <c r="O705" s="43"/>
      <c r="P705" s="43">
        <f>J705</f>
        <v>11.06</v>
      </c>
      <c r="Q705" s="43"/>
    </row>
    <row r="706" spans="1:17" ht="14.4" x14ac:dyDescent="0.25">
      <c r="A706" s="150">
        <v>7.72</v>
      </c>
      <c r="B706" s="15" t="s">
        <v>168</v>
      </c>
      <c r="C706" s="34">
        <f t="shared" si="605"/>
        <v>34.749000000000002</v>
      </c>
      <c r="D706" s="131">
        <f>15.27-2.4</f>
        <v>12.87</v>
      </c>
      <c r="E706" s="17">
        <v>2.7</v>
      </c>
      <c r="F706" s="33">
        <v>1</v>
      </c>
      <c r="G706" s="45"/>
      <c r="H706" s="65"/>
      <c r="I706" s="42"/>
      <c r="J706" s="43"/>
      <c r="K706" s="43"/>
      <c r="L706" s="43">
        <f>C706</f>
        <v>34.749000000000002</v>
      </c>
      <c r="M706" s="43"/>
      <c r="N706" s="43"/>
      <c r="O706" s="43"/>
      <c r="P706" s="43"/>
      <c r="Q706" s="43"/>
    </row>
    <row r="707" spans="1:17" ht="14.4" x14ac:dyDescent="0.25">
      <c r="A707" s="150">
        <v>5.0999999999999996</v>
      </c>
      <c r="B707" s="15" t="s">
        <v>247</v>
      </c>
      <c r="C707" s="34">
        <f t="shared" si="605"/>
        <v>25.029</v>
      </c>
      <c r="D707" s="131">
        <v>9.27</v>
      </c>
      <c r="E707" s="17">
        <v>2.7</v>
      </c>
      <c r="F707" s="33">
        <v>1</v>
      </c>
      <c r="G707" s="45"/>
      <c r="H707" s="65"/>
      <c r="I707" s="42"/>
      <c r="J707" s="43"/>
      <c r="K707" s="43"/>
      <c r="L707" s="43">
        <f>C707</f>
        <v>25.029</v>
      </c>
      <c r="M707" s="43"/>
      <c r="N707" s="43"/>
      <c r="O707" s="43"/>
      <c r="P707" s="43"/>
      <c r="Q707" s="43"/>
    </row>
    <row r="708" spans="1:17" ht="14.4" x14ac:dyDescent="0.25">
      <c r="A708" s="219">
        <v>18.18</v>
      </c>
      <c r="B708" s="220" t="s">
        <v>248</v>
      </c>
      <c r="C708" s="34">
        <f t="shared" si="605"/>
        <v>37.853999999999999</v>
      </c>
      <c r="D708" s="131">
        <f>17.88-3.86</f>
        <v>14.02</v>
      </c>
      <c r="E708" s="17">
        <v>2.7</v>
      </c>
      <c r="F708" s="33">
        <v>1</v>
      </c>
      <c r="G708" s="45"/>
      <c r="H708" s="65"/>
      <c r="I708" s="42"/>
      <c r="J708" s="43"/>
      <c r="K708" s="43"/>
      <c r="L708" s="43">
        <f>C708</f>
        <v>37.853999999999999</v>
      </c>
      <c r="M708" s="43"/>
      <c r="N708" s="43"/>
      <c r="O708" s="43"/>
      <c r="P708" s="43"/>
      <c r="Q708" s="43"/>
    </row>
    <row r="709" spans="1:17" ht="14.4" x14ac:dyDescent="0.25">
      <c r="A709" s="150"/>
      <c r="B709" s="157"/>
      <c r="C709" s="34">
        <f t="shared" si="605"/>
        <v>10.422000000000001</v>
      </c>
      <c r="D709" s="131">
        <v>3.86</v>
      </c>
      <c r="E709" s="17">
        <v>2.7</v>
      </c>
      <c r="F709" s="33">
        <v>1</v>
      </c>
      <c r="G709" s="45"/>
      <c r="H709" s="65">
        <f t="shared" ref="H709" si="629">C709</f>
        <v>10.422000000000001</v>
      </c>
      <c r="I709" s="42">
        <f t="shared" ref="I709" si="630">H709-J709</f>
        <v>10.422000000000001</v>
      </c>
      <c r="J709" s="43"/>
      <c r="K709" s="43"/>
      <c r="L709" s="43">
        <f t="shared" ref="L709" si="631">I709</f>
        <v>10.422000000000001</v>
      </c>
      <c r="M709" s="43"/>
      <c r="N709" s="43"/>
      <c r="O709" s="43"/>
      <c r="P709" s="43"/>
      <c r="Q709" s="43"/>
    </row>
    <row r="710" spans="1:17" ht="14.4" x14ac:dyDescent="0.25">
      <c r="A710" s="150">
        <v>9.64</v>
      </c>
      <c r="B710" s="15" t="s">
        <v>249</v>
      </c>
      <c r="C710" s="34">
        <f t="shared" si="605"/>
        <v>34.317000000000007</v>
      </c>
      <c r="D710" s="131">
        <v>12.71</v>
      </c>
      <c r="E710" s="17">
        <v>2.7</v>
      </c>
      <c r="F710" s="33">
        <v>1</v>
      </c>
      <c r="G710" s="45"/>
      <c r="H710" s="65"/>
      <c r="I710" s="42"/>
      <c r="J710" s="43"/>
      <c r="K710" s="43"/>
      <c r="L710" s="43">
        <f>C710</f>
        <v>34.317000000000007</v>
      </c>
      <c r="M710" s="43"/>
      <c r="N710" s="43"/>
      <c r="O710" s="43"/>
      <c r="P710" s="43"/>
      <c r="Q710" s="43"/>
    </row>
    <row r="711" spans="1:17" ht="14.4" x14ac:dyDescent="0.25">
      <c r="A711" s="150">
        <v>17.41</v>
      </c>
      <c r="B711" s="15" t="s">
        <v>320</v>
      </c>
      <c r="C711" s="34">
        <f t="shared" si="605"/>
        <v>24.273000000000007</v>
      </c>
      <c r="D711" s="131">
        <f>(17.48-3.85)-4.64</f>
        <v>8.990000000000002</v>
      </c>
      <c r="E711" s="17">
        <v>2.7</v>
      </c>
      <c r="F711" s="33">
        <v>1</v>
      </c>
      <c r="G711" s="45"/>
      <c r="H711" s="65"/>
      <c r="I711" s="42"/>
      <c r="J711" s="43"/>
      <c r="K711" s="43"/>
      <c r="L711" s="43">
        <f>C711</f>
        <v>24.273000000000007</v>
      </c>
      <c r="M711" s="43"/>
      <c r="N711" s="43"/>
      <c r="O711" s="43"/>
      <c r="P711" s="43"/>
      <c r="Q711" s="43"/>
    </row>
    <row r="712" spans="1:17" ht="14.4" x14ac:dyDescent="0.25">
      <c r="A712" s="150"/>
      <c r="B712" s="15"/>
      <c r="C712" s="34">
        <f t="shared" si="605"/>
        <v>10.395000000000001</v>
      </c>
      <c r="D712" s="131">
        <v>3.85</v>
      </c>
      <c r="E712" s="17">
        <v>2.7</v>
      </c>
      <c r="F712" s="33">
        <v>1</v>
      </c>
      <c r="G712" s="45"/>
      <c r="H712" s="65">
        <f t="shared" ref="H712" si="632">C712</f>
        <v>10.395000000000001</v>
      </c>
      <c r="I712" s="42">
        <f t="shared" ref="I712" si="633">H712-J712</f>
        <v>10.395000000000001</v>
      </c>
      <c r="J712" s="43"/>
      <c r="K712" s="43"/>
      <c r="L712" s="43">
        <f t="shared" ref="L712" si="634">I712</f>
        <v>10.395000000000001</v>
      </c>
      <c r="M712" s="43"/>
      <c r="N712" s="43"/>
      <c r="O712" s="43"/>
      <c r="P712" s="43"/>
      <c r="Q712" s="43"/>
    </row>
    <row r="713" spans="1:17" ht="14.4" x14ac:dyDescent="0.25">
      <c r="A713" s="150"/>
      <c r="B713" s="15"/>
      <c r="C713" s="34">
        <f t="shared" si="605"/>
        <v>12.528</v>
      </c>
      <c r="D713" s="131">
        <v>4.6399999999999997</v>
      </c>
      <c r="E713" s="17">
        <v>2.7</v>
      </c>
      <c r="F713" s="33">
        <v>1</v>
      </c>
      <c r="G713" s="45"/>
      <c r="H713" s="65"/>
      <c r="I713" s="42"/>
      <c r="J713" s="43"/>
      <c r="K713" s="43"/>
      <c r="L713" s="43"/>
      <c r="M713" s="43"/>
      <c r="N713" s="43"/>
      <c r="O713" s="43"/>
      <c r="P713" s="43"/>
      <c r="Q713" s="43"/>
    </row>
    <row r="714" spans="1:17" ht="14.4" x14ac:dyDescent="0.25">
      <c r="A714" s="150">
        <v>5.4</v>
      </c>
      <c r="B714" s="15" t="s">
        <v>258</v>
      </c>
      <c r="C714" s="34">
        <f t="shared" si="605"/>
        <v>25.380000000000003</v>
      </c>
      <c r="D714" s="131">
        <v>9.4</v>
      </c>
      <c r="E714" s="17">
        <v>2.7</v>
      </c>
      <c r="F714" s="33">
        <v>1</v>
      </c>
      <c r="G714" s="45"/>
      <c r="H714" s="65"/>
      <c r="I714" s="42"/>
      <c r="J714" s="43"/>
      <c r="K714" s="43"/>
      <c r="L714" s="43">
        <f>C714</f>
        <v>25.380000000000003</v>
      </c>
      <c r="M714" s="43"/>
      <c r="N714" s="43"/>
      <c r="O714" s="43"/>
      <c r="P714" s="43"/>
      <c r="Q714" s="43"/>
    </row>
    <row r="715" spans="1:17" ht="14.4" x14ac:dyDescent="0.25">
      <c r="A715" s="150">
        <v>4.59</v>
      </c>
      <c r="B715" s="15" t="s">
        <v>260</v>
      </c>
      <c r="C715" s="34">
        <f t="shared" si="605"/>
        <v>23.848000000000003</v>
      </c>
      <c r="D715" s="131">
        <v>8.8000000000000007</v>
      </c>
      <c r="E715" s="17">
        <v>2.71</v>
      </c>
      <c r="F715" s="33">
        <v>1</v>
      </c>
      <c r="G715" s="45"/>
      <c r="H715" s="65"/>
      <c r="I715" s="42"/>
      <c r="J715" s="43"/>
      <c r="K715" s="43"/>
      <c r="L715" s="43"/>
      <c r="M715" s="43"/>
      <c r="N715" s="43"/>
      <c r="O715" s="43"/>
      <c r="P715" s="43">
        <f>C715</f>
        <v>23.848000000000003</v>
      </c>
      <c r="Q715" s="43"/>
    </row>
    <row r="716" spans="1:17" ht="14.4" x14ac:dyDescent="0.25">
      <c r="A716" s="150">
        <v>8.4700000000000006</v>
      </c>
      <c r="B716" s="15" t="s">
        <v>321</v>
      </c>
      <c r="C716" s="34">
        <f t="shared" si="605"/>
        <v>22.571999999999999</v>
      </c>
      <c r="D716" s="131">
        <f>12.06-3.7</f>
        <v>8.36</v>
      </c>
      <c r="E716" s="17">
        <v>2.7</v>
      </c>
      <c r="F716" s="33">
        <v>1</v>
      </c>
      <c r="G716" s="45"/>
      <c r="H716" s="65"/>
      <c r="I716" s="42"/>
      <c r="J716" s="43"/>
      <c r="K716" s="43"/>
      <c r="L716" s="43">
        <f>C716</f>
        <v>22.571999999999999</v>
      </c>
      <c r="M716" s="43"/>
      <c r="N716" s="43"/>
      <c r="O716" s="43"/>
      <c r="P716" s="43"/>
      <c r="Q716" s="43"/>
    </row>
    <row r="717" spans="1:17" ht="14.4" x14ac:dyDescent="0.25">
      <c r="A717" s="150"/>
      <c r="B717" s="15"/>
      <c r="C717" s="34">
        <f t="shared" si="605"/>
        <v>9.990000000000002</v>
      </c>
      <c r="D717" s="131">
        <v>3.7</v>
      </c>
      <c r="E717" s="17">
        <v>2.7</v>
      </c>
      <c r="F717" s="33">
        <v>1</v>
      </c>
      <c r="G717" s="45"/>
      <c r="H717" s="65">
        <f t="shared" ref="H717" si="635">C717</f>
        <v>9.990000000000002</v>
      </c>
      <c r="I717" s="42">
        <f t="shared" ref="I717" si="636">H717-J717</f>
        <v>9.990000000000002</v>
      </c>
      <c r="J717" s="43"/>
      <c r="K717" s="43"/>
      <c r="L717" s="43">
        <f t="shared" ref="L717" si="637">I717</f>
        <v>9.990000000000002</v>
      </c>
      <c r="M717" s="43"/>
      <c r="N717" s="43"/>
      <c r="O717" s="43"/>
      <c r="P717" s="43"/>
      <c r="Q717" s="43"/>
    </row>
    <row r="718" spans="1:17" ht="14.4" x14ac:dyDescent="0.25">
      <c r="A718" s="150">
        <v>6.18</v>
      </c>
      <c r="B718" s="15" t="s">
        <v>168</v>
      </c>
      <c r="C718" s="34">
        <f t="shared" si="605"/>
        <v>31.05</v>
      </c>
      <c r="D718" s="131">
        <f>12.7-1.2</f>
        <v>11.5</v>
      </c>
      <c r="E718" s="17">
        <v>2.7</v>
      </c>
      <c r="F718" s="33">
        <v>1</v>
      </c>
      <c r="G718" s="45"/>
      <c r="H718" s="65"/>
      <c r="I718" s="42"/>
      <c r="J718" s="43"/>
      <c r="K718" s="43"/>
      <c r="L718" s="43">
        <f>C718</f>
        <v>31.05</v>
      </c>
      <c r="M718" s="43"/>
      <c r="N718" s="43"/>
      <c r="O718" s="43"/>
      <c r="P718" s="43"/>
      <c r="Q718" s="43"/>
    </row>
    <row r="719" spans="1:17" ht="14.4" x14ac:dyDescent="0.25">
      <c r="A719" s="219">
        <v>4.24</v>
      </c>
      <c r="B719" s="220" t="s">
        <v>263</v>
      </c>
      <c r="C719" s="34">
        <f t="shared" si="605"/>
        <v>22.113</v>
      </c>
      <c r="D719" s="131">
        <v>8.19</v>
      </c>
      <c r="E719" s="17">
        <v>2.7</v>
      </c>
      <c r="F719" s="33">
        <v>1</v>
      </c>
      <c r="G719" s="45"/>
      <c r="H719" s="65"/>
      <c r="I719" s="42"/>
      <c r="J719" s="43"/>
      <c r="K719" s="43"/>
      <c r="L719" s="43">
        <f>C719</f>
        <v>22.113</v>
      </c>
      <c r="M719" s="43"/>
      <c r="N719" s="43"/>
      <c r="O719" s="43"/>
      <c r="P719" s="43"/>
      <c r="Q719" s="43"/>
    </row>
    <row r="720" spans="1:17" ht="14.4" x14ac:dyDescent="0.25">
      <c r="A720" s="219">
        <v>7.05</v>
      </c>
      <c r="B720" s="220" t="s">
        <v>322</v>
      </c>
      <c r="C720" s="34">
        <f t="shared" si="605"/>
        <v>28.89</v>
      </c>
      <c r="D720" s="131">
        <v>10.7</v>
      </c>
      <c r="E720" s="17">
        <v>2.7</v>
      </c>
      <c r="F720" s="33">
        <v>1</v>
      </c>
      <c r="G720" s="45"/>
      <c r="H720" s="65"/>
      <c r="I720" s="42"/>
      <c r="J720" s="43"/>
      <c r="K720" s="43"/>
      <c r="L720" s="43">
        <f>C720</f>
        <v>28.89</v>
      </c>
      <c r="M720" s="43"/>
      <c r="N720" s="43"/>
      <c r="O720" s="43"/>
      <c r="P720" s="43"/>
      <c r="Q720" s="43"/>
    </row>
    <row r="721" spans="1:17" ht="14.4" x14ac:dyDescent="0.25">
      <c r="A721" s="150">
        <v>5.07</v>
      </c>
      <c r="B721" s="15" t="s">
        <v>331</v>
      </c>
      <c r="C721" s="34">
        <f t="shared" si="605"/>
        <v>20.007000000000001</v>
      </c>
      <c r="D721" s="131">
        <f>9.4-1.99</f>
        <v>7.41</v>
      </c>
      <c r="E721" s="17">
        <v>2.7</v>
      </c>
      <c r="F721" s="33">
        <v>1</v>
      </c>
      <c r="G721" s="45"/>
      <c r="H721" s="65"/>
      <c r="I721" s="42"/>
      <c r="J721" s="43"/>
      <c r="K721" s="43"/>
      <c r="L721" s="43">
        <f>C721</f>
        <v>20.007000000000001</v>
      </c>
      <c r="M721" s="43"/>
      <c r="N721" s="43"/>
      <c r="O721" s="43"/>
      <c r="P721" s="43"/>
      <c r="Q721" s="43"/>
    </row>
    <row r="722" spans="1:17" ht="14.4" x14ac:dyDescent="0.25">
      <c r="A722" s="150"/>
      <c r="B722" s="15"/>
      <c r="C722" s="34">
        <f t="shared" si="605"/>
        <v>5.3730000000000002</v>
      </c>
      <c r="D722" s="131">
        <v>1.99</v>
      </c>
      <c r="E722" s="17">
        <v>2.7</v>
      </c>
      <c r="F722" s="33">
        <v>1</v>
      </c>
      <c r="G722" s="45"/>
      <c r="H722" s="65">
        <f t="shared" ref="H722" si="638">C722</f>
        <v>5.3730000000000002</v>
      </c>
      <c r="I722" s="42">
        <f t="shared" ref="I722" si="639">H722-J722</f>
        <v>5.3730000000000002</v>
      </c>
      <c r="J722" s="43"/>
      <c r="K722" s="43"/>
      <c r="L722" s="43">
        <f t="shared" ref="L722" si="640">I722</f>
        <v>5.3730000000000002</v>
      </c>
      <c r="M722" s="43"/>
      <c r="N722" s="43"/>
      <c r="O722" s="43"/>
      <c r="P722" s="43"/>
      <c r="Q722" s="43"/>
    </row>
    <row r="723" spans="1:17" ht="14.4" x14ac:dyDescent="0.25">
      <c r="A723" s="150">
        <v>4.1500000000000004</v>
      </c>
      <c r="B723" s="15" t="s">
        <v>323</v>
      </c>
      <c r="C723" s="34">
        <f t="shared" si="605"/>
        <v>22.086500000000001</v>
      </c>
      <c r="D723" s="131">
        <v>8.15</v>
      </c>
      <c r="E723" s="17">
        <v>2.71</v>
      </c>
      <c r="F723" s="33">
        <v>1</v>
      </c>
      <c r="G723" s="45"/>
      <c r="H723" s="65"/>
      <c r="I723" s="42"/>
      <c r="J723" s="43"/>
      <c r="K723" s="43"/>
      <c r="L723" s="43"/>
      <c r="M723" s="43"/>
      <c r="N723" s="43"/>
      <c r="O723" s="43"/>
      <c r="P723" s="43">
        <f>C723</f>
        <v>22.086500000000001</v>
      </c>
      <c r="Q723" s="43"/>
    </row>
    <row r="724" spans="1:17" ht="14.4" x14ac:dyDescent="0.25">
      <c r="A724" s="150">
        <v>4.32</v>
      </c>
      <c r="B724" s="15" t="s">
        <v>324</v>
      </c>
      <c r="C724" s="34">
        <f t="shared" si="605"/>
        <v>22.5472</v>
      </c>
      <c r="D724" s="131">
        <v>8.32</v>
      </c>
      <c r="E724" s="17">
        <v>2.71</v>
      </c>
      <c r="F724" s="33">
        <v>1</v>
      </c>
      <c r="G724" s="45"/>
      <c r="H724" s="65"/>
      <c r="I724" s="42"/>
      <c r="J724" s="43"/>
      <c r="K724" s="43"/>
      <c r="L724" s="43"/>
      <c r="M724" s="43"/>
      <c r="N724" s="43"/>
      <c r="O724" s="43"/>
      <c r="P724" s="43">
        <f>C724</f>
        <v>22.5472</v>
      </c>
      <c r="Q724" s="43"/>
    </row>
    <row r="725" spans="1:17" ht="14.4" x14ac:dyDescent="0.25">
      <c r="A725" s="150">
        <v>9.16</v>
      </c>
      <c r="B725" s="15" t="s">
        <v>168</v>
      </c>
      <c r="C725" s="34">
        <f t="shared" si="605"/>
        <v>44.469000000000008</v>
      </c>
      <c r="D725" s="131">
        <f>17.67-1.2</f>
        <v>16.470000000000002</v>
      </c>
      <c r="E725" s="17">
        <v>2.7</v>
      </c>
      <c r="F725" s="33">
        <v>1</v>
      </c>
      <c r="G725" s="45"/>
      <c r="H725" s="65"/>
      <c r="I725" s="42"/>
      <c r="J725" s="43"/>
      <c r="K725" s="43"/>
      <c r="L725" s="43">
        <f>C725</f>
        <v>44.469000000000008</v>
      </c>
      <c r="M725" s="43"/>
      <c r="N725" s="43"/>
      <c r="O725" s="43"/>
      <c r="P725" s="43"/>
      <c r="Q725" s="43"/>
    </row>
    <row r="726" spans="1:17" ht="14.4" x14ac:dyDescent="0.25">
      <c r="A726" s="150"/>
      <c r="B726" s="15"/>
      <c r="C726" s="34">
        <f t="shared" si="605"/>
        <v>3.24</v>
      </c>
      <c r="D726" s="131">
        <v>1.2</v>
      </c>
      <c r="E726" s="17">
        <v>2.7</v>
      </c>
      <c r="F726" s="33">
        <v>1</v>
      </c>
      <c r="G726" s="45"/>
      <c r="H726" s="65">
        <f t="shared" ref="H726" si="641">C726</f>
        <v>3.24</v>
      </c>
      <c r="I726" s="42">
        <f t="shared" ref="I726" si="642">H726-J726</f>
        <v>3.24</v>
      </c>
      <c r="J726" s="43"/>
      <c r="K726" s="43"/>
      <c r="L726" s="43">
        <f t="shared" ref="L726" si="643">I726</f>
        <v>3.24</v>
      </c>
      <c r="M726" s="43"/>
      <c r="N726" s="43"/>
      <c r="O726" s="43"/>
      <c r="P726" s="43"/>
      <c r="Q726" s="43"/>
    </row>
    <row r="727" spans="1:17" ht="14.4" x14ac:dyDescent="0.25">
      <c r="A727" s="150">
        <v>9.98</v>
      </c>
      <c r="B727" s="15" t="s">
        <v>325</v>
      </c>
      <c r="C727" s="34">
        <f t="shared" si="605"/>
        <v>24.138000000000005</v>
      </c>
      <c r="D727" s="131">
        <f>13.21-4.27</f>
        <v>8.9400000000000013</v>
      </c>
      <c r="E727" s="17">
        <v>2.7</v>
      </c>
      <c r="F727" s="33">
        <v>1</v>
      </c>
      <c r="G727" s="45"/>
      <c r="H727" s="65"/>
      <c r="I727" s="42"/>
      <c r="J727" s="43"/>
      <c r="K727" s="43"/>
      <c r="L727" s="43">
        <f>C727</f>
        <v>24.138000000000005</v>
      </c>
      <c r="M727" s="43"/>
      <c r="N727" s="43"/>
      <c r="O727" s="43"/>
      <c r="P727" s="43"/>
      <c r="Q727" s="43"/>
    </row>
    <row r="728" spans="1:17" ht="14.4" x14ac:dyDescent="0.25">
      <c r="A728" s="150"/>
      <c r="B728" s="15"/>
      <c r="C728" s="34">
        <f t="shared" si="605"/>
        <v>11.529</v>
      </c>
      <c r="D728" s="131">
        <v>4.2699999999999996</v>
      </c>
      <c r="E728" s="17">
        <v>2.7</v>
      </c>
      <c r="F728" s="33">
        <v>1</v>
      </c>
      <c r="G728" s="45"/>
      <c r="H728" s="65">
        <f t="shared" ref="H728" si="644">C728</f>
        <v>11.529</v>
      </c>
      <c r="I728" s="42">
        <f t="shared" ref="I728" si="645">H728-J728</f>
        <v>11.529</v>
      </c>
      <c r="J728" s="43"/>
      <c r="K728" s="43"/>
      <c r="L728" s="43">
        <f t="shared" ref="L728" si="646">I728</f>
        <v>11.529</v>
      </c>
      <c r="M728" s="43"/>
      <c r="N728" s="43"/>
      <c r="O728" s="43"/>
      <c r="P728" s="43"/>
      <c r="Q728" s="43"/>
    </row>
    <row r="729" spans="1:17" ht="14.4" x14ac:dyDescent="0.25">
      <c r="A729" s="150">
        <v>10.24</v>
      </c>
      <c r="B729" s="15" t="s">
        <v>326</v>
      </c>
      <c r="C729" s="34">
        <f t="shared" si="605"/>
        <v>36.018000000000001</v>
      </c>
      <c r="D729" s="131">
        <v>13.34</v>
      </c>
      <c r="E729" s="17">
        <v>2.7</v>
      </c>
      <c r="F729" s="33">
        <v>1</v>
      </c>
      <c r="G729" s="45"/>
      <c r="H729" s="65"/>
      <c r="I729" s="42"/>
      <c r="J729" s="43"/>
      <c r="K729" s="43"/>
      <c r="L729" s="43">
        <f>C729</f>
        <v>36.018000000000001</v>
      </c>
      <c r="M729" s="43"/>
      <c r="N729" s="43"/>
      <c r="O729" s="43"/>
      <c r="P729" s="43"/>
      <c r="Q729" s="43"/>
    </row>
    <row r="730" spans="1:17" ht="14.4" x14ac:dyDescent="0.25">
      <c r="A730" s="150">
        <v>4.0599999999999996</v>
      </c>
      <c r="B730" s="15" t="s">
        <v>327</v>
      </c>
      <c r="C730" s="34">
        <f t="shared" si="605"/>
        <v>22.493000000000002</v>
      </c>
      <c r="D730" s="131">
        <v>8.3000000000000007</v>
      </c>
      <c r="E730" s="17">
        <v>2.71</v>
      </c>
      <c r="F730" s="33">
        <v>1</v>
      </c>
      <c r="G730" s="45"/>
      <c r="H730" s="65">
        <f t="shared" si="617"/>
        <v>22.493000000000002</v>
      </c>
      <c r="I730" s="42"/>
      <c r="J730" s="43">
        <f t="shared" ref="J730:J732" si="647">H730-I730</f>
        <v>22.493000000000002</v>
      </c>
      <c r="K730" s="43"/>
      <c r="L730" s="43"/>
      <c r="M730" s="43"/>
      <c r="N730" s="43"/>
      <c r="O730" s="43"/>
      <c r="P730" s="43">
        <f>J730</f>
        <v>22.493000000000002</v>
      </c>
      <c r="Q730" s="43"/>
    </row>
    <row r="731" spans="1:17" ht="14.4" x14ac:dyDescent="0.25">
      <c r="A731" s="150"/>
      <c r="B731" s="15"/>
      <c r="C731" s="34"/>
      <c r="D731" s="131">
        <v>3.88</v>
      </c>
      <c r="E731" s="17">
        <v>2.71</v>
      </c>
      <c r="F731" s="33"/>
      <c r="G731" s="45"/>
      <c r="H731" s="65"/>
      <c r="I731" s="42"/>
      <c r="J731" s="43"/>
      <c r="K731" s="43"/>
      <c r="L731" s="43"/>
      <c r="M731" s="43"/>
      <c r="N731" s="43"/>
      <c r="O731" s="43"/>
      <c r="P731" s="43"/>
      <c r="Q731" s="43"/>
    </row>
    <row r="732" spans="1:17" ht="14.4" x14ac:dyDescent="0.25">
      <c r="A732" s="150">
        <v>4.18</v>
      </c>
      <c r="B732" s="15" t="s">
        <v>327</v>
      </c>
      <c r="C732" s="34">
        <f t="shared" si="605"/>
        <v>23.007899999999999</v>
      </c>
      <c r="D732" s="131">
        <v>8.49</v>
      </c>
      <c r="E732" s="17">
        <v>2.71</v>
      </c>
      <c r="F732" s="33">
        <v>1</v>
      </c>
      <c r="G732" s="45"/>
      <c r="H732" s="65">
        <f t="shared" si="617"/>
        <v>23.007899999999999</v>
      </c>
      <c r="I732" s="42"/>
      <c r="J732" s="43">
        <f t="shared" si="647"/>
        <v>23.007899999999999</v>
      </c>
      <c r="K732" s="43"/>
      <c r="L732" s="43"/>
      <c r="M732" s="43"/>
      <c r="N732" s="43"/>
      <c r="O732" s="43"/>
      <c r="P732" s="43">
        <f>J732</f>
        <v>23.007899999999999</v>
      </c>
      <c r="Q732" s="43"/>
    </row>
    <row r="733" spans="1:17" ht="14.4" x14ac:dyDescent="0.25">
      <c r="A733" s="150"/>
      <c r="B733" s="15"/>
      <c r="C733" s="34"/>
      <c r="D733" s="131">
        <v>2.4</v>
      </c>
      <c r="E733" s="17">
        <v>2.71</v>
      </c>
      <c r="F733" s="33"/>
      <c r="G733" s="45"/>
      <c r="H733" s="65"/>
      <c r="I733" s="42"/>
      <c r="J733" s="43"/>
      <c r="K733" s="43"/>
      <c r="L733" s="43"/>
      <c r="M733" s="43"/>
      <c r="N733" s="43"/>
      <c r="O733" s="43"/>
      <c r="P733" s="43"/>
      <c r="Q733" s="43"/>
    </row>
    <row r="734" spans="1:17" ht="14.4" x14ac:dyDescent="0.25">
      <c r="A734" s="150">
        <v>1.92</v>
      </c>
      <c r="B734" s="15" t="s">
        <v>328</v>
      </c>
      <c r="C734" s="34">
        <f t="shared" si="605"/>
        <v>15.3386</v>
      </c>
      <c r="D734" s="131">
        <v>5.66</v>
      </c>
      <c r="E734" s="17">
        <v>2.71</v>
      </c>
      <c r="F734" s="33">
        <v>1</v>
      </c>
      <c r="G734" s="45"/>
      <c r="H734" s="65"/>
      <c r="I734" s="42"/>
      <c r="J734" s="43"/>
      <c r="K734" s="43"/>
      <c r="L734" s="43"/>
      <c r="M734" s="43"/>
      <c r="N734" s="43"/>
      <c r="O734" s="43"/>
      <c r="P734" s="43">
        <f>C734</f>
        <v>15.3386</v>
      </c>
      <c r="Q734" s="43"/>
    </row>
    <row r="735" spans="1:17" ht="14.4" x14ac:dyDescent="0.25">
      <c r="A735" s="150">
        <v>1.99</v>
      </c>
      <c r="B735" s="15" t="s">
        <v>329</v>
      </c>
      <c r="C735" s="34">
        <f t="shared" si="605"/>
        <v>15.555400000000001</v>
      </c>
      <c r="D735" s="131">
        <v>5.74</v>
      </c>
      <c r="E735" s="17">
        <v>2.71</v>
      </c>
      <c r="F735" s="33">
        <v>1</v>
      </c>
      <c r="G735" s="45"/>
      <c r="H735" s="65"/>
      <c r="I735" s="42"/>
      <c r="J735" s="43"/>
      <c r="K735" s="43"/>
      <c r="L735" s="43"/>
      <c r="M735" s="43"/>
      <c r="N735" s="43"/>
      <c r="O735" s="43"/>
      <c r="P735" s="43">
        <f>C735</f>
        <v>15.555400000000001</v>
      </c>
      <c r="Q735" s="43"/>
    </row>
    <row r="736" spans="1:17" ht="14.4" x14ac:dyDescent="0.25">
      <c r="A736" s="150">
        <v>7.02</v>
      </c>
      <c r="B736" s="15" t="s">
        <v>257</v>
      </c>
      <c r="C736" s="34">
        <f t="shared" si="605"/>
        <v>28.807300000000001</v>
      </c>
      <c r="D736" s="131">
        <v>10.63</v>
      </c>
      <c r="E736" s="17">
        <v>2.71</v>
      </c>
      <c r="F736" s="33">
        <v>1</v>
      </c>
      <c r="G736" s="45"/>
      <c r="H736" s="65"/>
      <c r="I736" s="42"/>
      <c r="J736" s="43"/>
      <c r="K736" s="43"/>
      <c r="L736" s="43"/>
      <c r="M736" s="43"/>
      <c r="N736" s="43"/>
      <c r="O736" s="43"/>
      <c r="P736" s="43"/>
      <c r="Q736" s="43">
        <f>C736</f>
        <v>28.807300000000001</v>
      </c>
    </row>
    <row r="737" spans="1:17" ht="14.4" x14ac:dyDescent="0.25">
      <c r="A737" s="150">
        <v>3.43</v>
      </c>
      <c r="B737" s="15" t="s">
        <v>158</v>
      </c>
      <c r="C737" s="34">
        <f t="shared" si="605"/>
        <v>14.227499999999999</v>
      </c>
      <c r="D737" s="131">
        <f>7.7-2.45</f>
        <v>5.25</v>
      </c>
      <c r="E737" s="17">
        <v>2.71</v>
      </c>
      <c r="F737" s="33">
        <v>1</v>
      </c>
      <c r="G737" s="45"/>
      <c r="H737" s="65"/>
      <c r="I737" s="42"/>
      <c r="J737" s="43"/>
      <c r="K737" s="43"/>
      <c r="L737" s="43"/>
      <c r="M737" s="43"/>
      <c r="N737" s="43"/>
      <c r="O737" s="43"/>
      <c r="P737" s="43"/>
      <c r="Q737" s="43">
        <f>C737</f>
        <v>14.227499999999999</v>
      </c>
    </row>
    <row r="738" spans="1:17" ht="14.4" x14ac:dyDescent="0.25">
      <c r="A738" s="150"/>
      <c r="B738" s="15"/>
      <c r="C738" s="34">
        <f t="shared" si="605"/>
        <v>6.6395</v>
      </c>
      <c r="D738" s="131">
        <v>2.4500000000000002</v>
      </c>
      <c r="E738" s="17">
        <v>2.71</v>
      </c>
      <c r="F738" s="33">
        <v>1</v>
      </c>
      <c r="G738" s="45"/>
      <c r="H738" s="65">
        <f t="shared" ref="H738" si="648">C738</f>
        <v>6.6395</v>
      </c>
      <c r="I738" s="42"/>
      <c r="J738" s="43">
        <f t="shared" ref="J738" si="649">H738-I738</f>
        <v>6.6395</v>
      </c>
      <c r="K738" s="43"/>
      <c r="L738" s="43"/>
      <c r="M738" s="43"/>
      <c r="N738" s="43"/>
      <c r="O738" s="43"/>
      <c r="P738" s="43"/>
      <c r="Q738" s="43">
        <f>J738</f>
        <v>6.6395</v>
      </c>
    </row>
    <row r="739" spans="1:17" ht="14.4" x14ac:dyDescent="0.25">
      <c r="A739" s="219">
        <v>5.62</v>
      </c>
      <c r="B739" s="220" t="s">
        <v>177</v>
      </c>
      <c r="C739" s="34">
        <f t="shared" si="605"/>
        <v>17.196000000000002</v>
      </c>
      <c r="D739" s="131">
        <f>10.13-2.75</f>
        <v>7.3800000000000008</v>
      </c>
      <c r="E739" s="17">
        <v>2.7</v>
      </c>
      <c r="F739" s="33">
        <v>1</v>
      </c>
      <c r="G739" s="45">
        <v>2.73</v>
      </c>
      <c r="H739" s="65"/>
      <c r="I739" s="42"/>
      <c r="J739" s="43"/>
      <c r="K739" s="43"/>
      <c r="L739" s="43"/>
      <c r="M739" s="43">
        <f>C739</f>
        <v>17.196000000000002</v>
      </c>
      <c r="N739" s="43"/>
      <c r="O739" s="43"/>
      <c r="P739" s="43"/>
      <c r="Q739" s="43"/>
    </row>
    <row r="740" spans="1:17" ht="14.4" x14ac:dyDescent="0.25">
      <c r="A740" s="150"/>
      <c r="B740" s="157"/>
      <c r="C740" s="34">
        <f t="shared" si="605"/>
        <v>7.4250000000000007</v>
      </c>
      <c r="D740" s="131">
        <v>2.75</v>
      </c>
      <c r="E740" s="17">
        <v>2.7</v>
      </c>
      <c r="F740" s="33">
        <v>1</v>
      </c>
      <c r="G740" s="45"/>
      <c r="H740" s="65">
        <f t="shared" ref="H740" si="650">C740</f>
        <v>7.4250000000000007</v>
      </c>
      <c r="I740" s="42">
        <f t="shared" ref="I740" si="651">H740-J740</f>
        <v>7.4250000000000007</v>
      </c>
      <c r="J740" s="43"/>
      <c r="K740" s="43"/>
      <c r="L740" s="43"/>
      <c r="M740" s="43">
        <f>I740</f>
        <v>7.4250000000000007</v>
      </c>
      <c r="N740" s="43"/>
      <c r="O740" s="43"/>
      <c r="P740" s="43"/>
      <c r="Q740" s="43"/>
    </row>
    <row r="741" spans="1:17" ht="14.4" x14ac:dyDescent="0.25">
      <c r="A741" s="219">
        <v>97.21</v>
      </c>
      <c r="B741" s="220" t="s">
        <v>168</v>
      </c>
      <c r="C741" s="34">
        <f t="shared" si="605"/>
        <v>193.18200000000002</v>
      </c>
      <c r="D741" s="131">
        <f>93.63-(7.74+13.33)</f>
        <v>72.56</v>
      </c>
      <c r="E741" s="17">
        <v>2.7</v>
      </c>
      <c r="F741" s="33">
        <v>1</v>
      </c>
      <c r="G741" s="45">
        <v>2.73</v>
      </c>
      <c r="H741" s="65"/>
      <c r="I741" s="42"/>
      <c r="J741" s="43"/>
      <c r="K741" s="43"/>
      <c r="L741" s="43">
        <f>C741</f>
        <v>193.18200000000002</v>
      </c>
      <c r="M741" s="43"/>
      <c r="N741" s="43"/>
      <c r="O741" s="43"/>
      <c r="P741" s="43"/>
      <c r="Q741" s="43"/>
    </row>
    <row r="742" spans="1:17" ht="14.4" x14ac:dyDescent="0.25">
      <c r="A742" s="150"/>
      <c r="B742" s="15" t="s">
        <v>168</v>
      </c>
      <c r="C742" s="34">
        <f t="shared" si="605"/>
        <v>0.6</v>
      </c>
      <c r="D742" s="131">
        <v>0.6</v>
      </c>
      <c r="E742" s="17">
        <v>1</v>
      </c>
      <c r="F742" s="33">
        <v>1</v>
      </c>
      <c r="G742" s="45"/>
      <c r="H742" s="488">
        <f t="shared" si="617"/>
        <v>0.6</v>
      </c>
      <c r="I742" s="42"/>
      <c r="J742" s="43">
        <f t="shared" ref="J742" si="652">H742-I742</f>
        <v>0.6</v>
      </c>
      <c r="K742" s="43"/>
      <c r="L742" s="43"/>
      <c r="M742" s="43"/>
      <c r="N742" s="43"/>
      <c r="O742" s="43"/>
      <c r="P742" s="43">
        <f>J742</f>
        <v>0.6</v>
      </c>
      <c r="Q742" s="43"/>
    </row>
    <row r="743" spans="1:17" ht="14.4" x14ac:dyDescent="0.25">
      <c r="A743" s="150"/>
      <c r="B743" s="15"/>
      <c r="C743" s="34">
        <f t="shared" si="605"/>
        <v>35.991</v>
      </c>
      <c r="D743" s="131">
        <v>13.33</v>
      </c>
      <c r="E743" s="17">
        <v>2.7</v>
      </c>
      <c r="F743" s="33">
        <v>1</v>
      </c>
      <c r="G743" s="45"/>
      <c r="H743" s="65">
        <f t="shared" ref="H743" si="653">C743</f>
        <v>35.991</v>
      </c>
      <c r="I743" s="42">
        <f t="shared" ref="I743" si="654">H743-J743</f>
        <v>35.991</v>
      </c>
      <c r="J743" s="43"/>
      <c r="K743" s="43"/>
      <c r="L743" s="43">
        <f t="shared" ref="L743" si="655">I743</f>
        <v>35.991</v>
      </c>
      <c r="M743" s="43"/>
      <c r="N743" s="43"/>
      <c r="O743" s="43"/>
      <c r="P743" s="43"/>
      <c r="Q743" s="43"/>
    </row>
    <row r="744" spans="1:17" ht="14.4" x14ac:dyDescent="0.25">
      <c r="A744" s="150">
        <v>4.46</v>
      </c>
      <c r="B744" s="15" t="s">
        <v>260</v>
      </c>
      <c r="C744" s="34">
        <f t="shared" si="605"/>
        <v>141.46199999999999</v>
      </c>
      <c r="D744" s="131">
        <v>8.6999999999999993</v>
      </c>
      <c r="E744" s="17">
        <v>2.71</v>
      </c>
      <c r="F744" s="33">
        <v>6</v>
      </c>
      <c r="G744" s="45"/>
      <c r="H744" s="65"/>
      <c r="I744" s="42"/>
      <c r="J744" s="43"/>
      <c r="K744" s="43"/>
      <c r="L744" s="43"/>
      <c r="M744" s="43"/>
      <c r="N744" s="43"/>
      <c r="O744" s="43"/>
      <c r="P744" s="43">
        <f>C744</f>
        <v>141.46199999999999</v>
      </c>
      <c r="Q744" s="43"/>
    </row>
    <row r="745" spans="1:17" ht="14.4" x14ac:dyDescent="0.25">
      <c r="A745" s="219">
        <v>4.45</v>
      </c>
      <c r="B745" s="220" t="s">
        <v>260</v>
      </c>
      <c r="C745" s="34">
        <f t="shared" si="605"/>
        <v>47.153999999999996</v>
      </c>
      <c r="D745" s="131">
        <v>8.6999999999999993</v>
      </c>
      <c r="E745" s="17">
        <v>2.71</v>
      </c>
      <c r="F745" s="33">
        <v>2</v>
      </c>
      <c r="G745" s="45"/>
      <c r="H745" s="65"/>
      <c r="I745" s="42"/>
      <c r="J745" s="43"/>
      <c r="K745" s="43"/>
      <c r="L745" s="43"/>
      <c r="M745" s="43"/>
      <c r="N745" s="43"/>
      <c r="O745" s="43"/>
      <c r="P745" s="43">
        <f t="shared" ref="P745:P746" si="656">C745</f>
        <v>47.153999999999996</v>
      </c>
      <c r="Q745" s="43"/>
    </row>
    <row r="746" spans="1:17" ht="14.4" x14ac:dyDescent="0.25">
      <c r="A746" s="150">
        <v>4.59</v>
      </c>
      <c r="B746" s="15" t="s">
        <v>260</v>
      </c>
      <c r="C746" s="34">
        <f t="shared" si="605"/>
        <v>47.696000000000005</v>
      </c>
      <c r="D746" s="131">
        <v>8.8000000000000007</v>
      </c>
      <c r="E746" s="17">
        <v>2.71</v>
      </c>
      <c r="F746" s="33">
        <v>2</v>
      </c>
      <c r="G746" s="45"/>
      <c r="H746" s="65"/>
      <c r="I746" s="42"/>
      <c r="J746" s="43"/>
      <c r="K746" s="43"/>
      <c r="L746" s="43"/>
      <c r="M746" s="43"/>
      <c r="N746" s="43"/>
      <c r="O746" s="43"/>
      <c r="P746" s="43">
        <f t="shared" si="656"/>
        <v>47.696000000000005</v>
      </c>
      <c r="Q746" s="43"/>
    </row>
    <row r="747" spans="1:17" ht="14.4" x14ac:dyDescent="0.25">
      <c r="A747" s="150">
        <v>2.13</v>
      </c>
      <c r="B747" s="15" t="s">
        <v>269</v>
      </c>
      <c r="C747" s="34">
        <f t="shared" si="605"/>
        <v>15.930000000000001</v>
      </c>
      <c r="D747" s="131">
        <f>5.9</f>
        <v>5.9</v>
      </c>
      <c r="E747" s="17">
        <v>2.7</v>
      </c>
      <c r="F747" s="33">
        <v>1</v>
      </c>
      <c r="G747" s="45"/>
      <c r="H747" s="65"/>
      <c r="I747" s="42"/>
      <c r="J747" s="43"/>
      <c r="K747" s="43"/>
      <c r="L747" s="43">
        <f>C747</f>
        <v>15.930000000000001</v>
      </c>
      <c r="M747" s="43"/>
      <c r="N747" s="43"/>
      <c r="O747" s="43"/>
      <c r="P747" s="43"/>
      <c r="Q747" s="43"/>
    </row>
    <row r="748" spans="1:17" ht="14.4" x14ac:dyDescent="0.25">
      <c r="A748" s="219">
        <v>51.55</v>
      </c>
      <c r="B748" s="220" t="s">
        <v>265</v>
      </c>
      <c r="C748" s="34">
        <f t="shared" si="605"/>
        <v>34.344000000000008</v>
      </c>
      <c r="D748" s="131">
        <f>(35.24-15.04)-7.48</f>
        <v>12.720000000000002</v>
      </c>
      <c r="E748" s="17">
        <v>2.7</v>
      </c>
      <c r="F748" s="33">
        <v>1</v>
      </c>
      <c r="G748" s="45"/>
      <c r="H748" s="65"/>
      <c r="I748" s="42"/>
      <c r="J748" s="43"/>
      <c r="K748" s="43"/>
      <c r="L748" s="43">
        <f>C748</f>
        <v>34.344000000000008</v>
      </c>
      <c r="M748" s="43"/>
      <c r="N748" s="43"/>
      <c r="O748" s="43"/>
      <c r="P748" s="43"/>
      <c r="Q748" s="43"/>
    </row>
    <row r="749" spans="1:17" ht="14.4" x14ac:dyDescent="0.25">
      <c r="A749" s="150"/>
      <c r="B749" s="157"/>
      <c r="C749" s="34">
        <f t="shared" si="605"/>
        <v>40.607999999999997</v>
      </c>
      <c r="D749" s="131">
        <v>15.04</v>
      </c>
      <c r="E749" s="17">
        <v>2.7</v>
      </c>
      <c r="F749" s="33">
        <v>1</v>
      </c>
      <c r="G749" s="45"/>
      <c r="H749" s="65">
        <f t="shared" ref="H749" si="657">C749</f>
        <v>40.607999999999997</v>
      </c>
      <c r="I749" s="42">
        <f t="shared" ref="I749" si="658">H749-J749</f>
        <v>40.607999999999997</v>
      </c>
      <c r="J749" s="43"/>
      <c r="K749" s="43"/>
      <c r="L749" s="43">
        <f t="shared" ref="L749" si="659">I749</f>
        <v>40.607999999999997</v>
      </c>
      <c r="M749" s="43"/>
      <c r="N749" s="43"/>
      <c r="O749" s="43"/>
      <c r="P749" s="43"/>
      <c r="Q749" s="43"/>
    </row>
    <row r="750" spans="1:17" ht="14.4" x14ac:dyDescent="0.25">
      <c r="A750" s="150"/>
      <c r="B750" s="157"/>
      <c r="C750" s="34">
        <f t="shared" si="605"/>
        <v>20.196000000000002</v>
      </c>
      <c r="D750" s="131">
        <v>7.48</v>
      </c>
      <c r="E750" s="17">
        <v>2.7</v>
      </c>
      <c r="F750" s="33">
        <v>1</v>
      </c>
      <c r="G750" s="45"/>
      <c r="H750" s="65"/>
      <c r="I750" s="42"/>
      <c r="J750" s="43"/>
      <c r="K750" s="43">
        <f>C750</f>
        <v>20.196000000000002</v>
      </c>
      <c r="L750" s="43"/>
      <c r="M750" s="43"/>
      <c r="N750" s="43"/>
      <c r="O750" s="43"/>
      <c r="P750" s="43"/>
      <c r="Q750" s="43"/>
    </row>
    <row r="751" spans="1:17" ht="14.4" x14ac:dyDescent="0.25">
      <c r="A751" s="219">
        <v>28.38</v>
      </c>
      <c r="B751" s="220" t="s">
        <v>266</v>
      </c>
      <c r="C751" s="34">
        <f t="shared" si="605"/>
        <v>79.785000000000011</v>
      </c>
      <c r="D751" s="131">
        <f>(23.18-7.48)-(2+3.85)</f>
        <v>9.85</v>
      </c>
      <c r="E751" s="17">
        <v>2.7</v>
      </c>
      <c r="F751" s="33">
        <v>3</v>
      </c>
      <c r="G751" s="45"/>
      <c r="H751" s="65"/>
      <c r="I751" s="42"/>
      <c r="J751" s="43"/>
      <c r="K751" s="43"/>
      <c r="L751" s="43">
        <f>C751</f>
        <v>79.785000000000011</v>
      </c>
      <c r="M751" s="43"/>
      <c r="N751" s="43"/>
      <c r="O751" s="43"/>
      <c r="P751" s="43"/>
      <c r="Q751" s="43"/>
    </row>
    <row r="752" spans="1:17" ht="14.4" x14ac:dyDescent="0.25">
      <c r="A752" s="150"/>
      <c r="B752" s="157"/>
      <c r="C752" s="34">
        <f t="shared" si="605"/>
        <v>31.185000000000002</v>
      </c>
      <c r="D752" s="131">
        <v>3.85</v>
      </c>
      <c r="E752" s="17">
        <v>2.7</v>
      </c>
      <c r="F752" s="33">
        <v>3</v>
      </c>
      <c r="G752" s="45"/>
      <c r="H752" s="65">
        <f t="shared" ref="H752" si="660">C752</f>
        <v>31.185000000000002</v>
      </c>
      <c r="I752" s="42">
        <f t="shared" ref="I752" si="661">H752-J752</f>
        <v>31.185000000000002</v>
      </c>
      <c r="J752" s="43"/>
      <c r="K752" s="43"/>
      <c r="L752" s="43">
        <f t="shared" ref="L752" si="662">I752</f>
        <v>31.185000000000002</v>
      </c>
      <c r="M752" s="43"/>
      <c r="N752" s="43"/>
      <c r="O752" s="43"/>
      <c r="P752" s="43"/>
      <c r="Q752" s="43"/>
    </row>
    <row r="753" spans="1:18" ht="14.4" x14ac:dyDescent="0.25">
      <c r="A753" s="150"/>
      <c r="B753" s="157"/>
      <c r="C753" s="34">
        <f t="shared" si="605"/>
        <v>60.588000000000008</v>
      </c>
      <c r="D753" s="131">
        <v>7.48</v>
      </c>
      <c r="E753" s="17">
        <v>2.7</v>
      </c>
      <c r="F753" s="33">
        <v>3</v>
      </c>
      <c r="G753" s="45"/>
      <c r="H753" s="65"/>
      <c r="I753" s="42"/>
      <c r="J753" s="43"/>
      <c r="K753" s="43">
        <f>C753</f>
        <v>60.588000000000008</v>
      </c>
      <c r="L753" s="43"/>
      <c r="M753" s="43"/>
      <c r="N753" s="43"/>
      <c r="O753" s="43"/>
      <c r="P753" s="43"/>
      <c r="Q753" s="43"/>
    </row>
    <row r="754" spans="1:18" ht="14.4" x14ac:dyDescent="0.25">
      <c r="A754" s="219">
        <v>31.08</v>
      </c>
      <c r="B754" s="220" t="s">
        <v>267</v>
      </c>
      <c r="C754" s="34">
        <f t="shared" si="605"/>
        <v>142.42500000000001</v>
      </c>
      <c r="D754" s="131">
        <f>(24.58-8.18)-(2+3.85)</f>
        <v>10.549999999999999</v>
      </c>
      <c r="E754" s="17">
        <v>2.7</v>
      </c>
      <c r="F754" s="33">
        <v>5</v>
      </c>
      <c r="G754" s="45"/>
      <c r="H754" s="65"/>
      <c r="I754" s="42"/>
      <c r="J754" s="43"/>
      <c r="K754" s="43"/>
      <c r="L754" s="43">
        <f>C754</f>
        <v>142.42500000000001</v>
      </c>
      <c r="M754" s="43"/>
      <c r="N754" s="43"/>
      <c r="O754" s="43"/>
      <c r="P754" s="43"/>
      <c r="Q754" s="43"/>
    </row>
    <row r="755" spans="1:18" ht="14.4" x14ac:dyDescent="0.25">
      <c r="A755" s="150"/>
      <c r="B755" s="157"/>
      <c r="C755" s="34">
        <f t="shared" si="605"/>
        <v>51.975000000000009</v>
      </c>
      <c r="D755" s="131">
        <v>3.85</v>
      </c>
      <c r="E755" s="17">
        <v>2.7</v>
      </c>
      <c r="F755" s="33">
        <v>5</v>
      </c>
      <c r="G755" s="45"/>
      <c r="H755" s="65">
        <f t="shared" ref="H755" si="663">C755</f>
        <v>51.975000000000009</v>
      </c>
      <c r="I755" s="42">
        <f t="shared" ref="I755" si="664">H755-J755</f>
        <v>51.975000000000009</v>
      </c>
      <c r="J755" s="43"/>
      <c r="K755" s="43"/>
      <c r="L755" s="43">
        <f t="shared" ref="L755" si="665">I755</f>
        <v>51.975000000000009</v>
      </c>
      <c r="M755" s="43"/>
      <c r="N755" s="43"/>
      <c r="O755" s="43"/>
      <c r="P755" s="43"/>
      <c r="Q755" s="43"/>
    </row>
    <row r="756" spans="1:18" ht="14.4" x14ac:dyDescent="0.25">
      <c r="A756" s="150"/>
      <c r="B756" s="157"/>
      <c r="C756" s="34">
        <f t="shared" si="605"/>
        <v>110.43</v>
      </c>
      <c r="D756" s="131">
        <v>8.18</v>
      </c>
      <c r="E756" s="17">
        <v>2.7</v>
      </c>
      <c r="F756" s="33">
        <v>5</v>
      </c>
      <c r="G756" s="45"/>
      <c r="H756" s="65"/>
      <c r="I756" s="42"/>
      <c r="J756" s="43"/>
      <c r="K756" s="43">
        <f>C756</f>
        <v>110.43</v>
      </c>
      <c r="L756" s="43"/>
      <c r="M756" s="43"/>
      <c r="N756" s="43"/>
      <c r="O756" s="43"/>
      <c r="P756" s="43"/>
      <c r="Q756" s="43"/>
    </row>
    <row r="757" spans="1:18" ht="14.4" x14ac:dyDescent="0.25">
      <c r="A757" s="219">
        <v>48.78</v>
      </c>
      <c r="B757" s="220" t="s">
        <v>265</v>
      </c>
      <c r="C757" s="34">
        <f t="shared" si="605"/>
        <v>23.948999999999995</v>
      </c>
      <c r="D757" s="131">
        <f>(30.49-14.84)-6.78</f>
        <v>8.8699999999999974</v>
      </c>
      <c r="E757" s="17">
        <v>2.7</v>
      </c>
      <c r="F757" s="33">
        <v>1</v>
      </c>
      <c r="G757" s="45"/>
      <c r="H757" s="65"/>
      <c r="I757" s="42"/>
      <c r="J757" s="43"/>
      <c r="K757" s="43"/>
      <c r="L757" s="43">
        <f>C757</f>
        <v>23.948999999999995</v>
      </c>
      <c r="M757" s="43"/>
      <c r="N757" s="43"/>
      <c r="O757" s="43"/>
      <c r="P757" s="43"/>
      <c r="Q757" s="43"/>
    </row>
    <row r="758" spans="1:18" ht="14.4" x14ac:dyDescent="0.25">
      <c r="A758" s="150"/>
      <c r="B758" s="157"/>
      <c r="C758" s="34">
        <f t="shared" si="605"/>
        <v>25.136999999999997</v>
      </c>
      <c r="D758" s="131">
        <f>14.84-5.53</f>
        <v>9.3099999999999987</v>
      </c>
      <c r="E758" s="17">
        <v>2.7</v>
      </c>
      <c r="F758" s="33">
        <v>1</v>
      </c>
      <c r="G758" s="45"/>
      <c r="H758" s="65">
        <f t="shared" ref="H758" si="666">C758</f>
        <v>25.136999999999997</v>
      </c>
      <c r="I758" s="42">
        <f t="shared" ref="I758" si="667">H758-J758</f>
        <v>25.136999999999997</v>
      </c>
      <c r="J758" s="43"/>
      <c r="K758" s="43"/>
      <c r="L758" s="43">
        <f t="shared" ref="L758" si="668">I758</f>
        <v>25.136999999999997</v>
      </c>
      <c r="M758" s="43"/>
      <c r="N758" s="43"/>
      <c r="O758" s="43"/>
      <c r="P758" s="43"/>
      <c r="Q758" s="43"/>
    </row>
    <row r="759" spans="1:18" ht="14.4" x14ac:dyDescent="0.25">
      <c r="A759" s="150"/>
      <c r="B759" s="157"/>
      <c r="C759" s="34">
        <f t="shared" si="605"/>
        <v>33.237000000000002</v>
      </c>
      <c r="D759" s="131">
        <v>12.31</v>
      </c>
      <c r="E759" s="17">
        <v>2.7</v>
      </c>
      <c r="F759" s="33">
        <v>1</v>
      </c>
      <c r="G759" s="45"/>
      <c r="H759" s="65"/>
      <c r="I759" s="42"/>
      <c r="J759" s="43"/>
      <c r="K759" s="43">
        <f>C759</f>
        <v>33.237000000000002</v>
      </c>
      <c r="L759" s="43"/>
      <c r="M759" s="43"/>
      <c r="N759" s="43"/>
      <c r="O759" s="43"/>
      <c r="P759" s="43"/>
      <c r="Q759" s="43"/>
    </row>
    <row r="760" spans="1:18" ht="14.4" x14ac:dyDescent="0.25">
      <c r="A760" s="150">
        <v>1.65</v>
      </c>
      <c r="B760" s="15" t="s">
        <v>229</v>
      </c>
      <c r="C760" s="34">
        <f t="shared" si="605"/>
        <v>29.8</v>
      </c>
      <c r="D760" s="131">
        <v>7.45</v>
      </c>
      <c r="E760" s="17">
        <v>4</v>
      </c>
      <c r="F760" s="33">
        <v>1</v>
      </c>
      <c r="G760" s="45"/>
      <c r="H760" s="65">
        <f t="shared" si="617"/>
        <v>29.8</v>
      </c>
      <c r="I760" s="42">
        <f t="shared" ref="I760" si="669">H760-J760</f>
        <v>29.8</v>
      </c>
      <c r="J760" s="43"/>
      <c r="K760" s="43"/>
      <c r="L760" s="43">
        <f t="shared" ref="L760" si="670">I760</f>
        <v>29.8</v>
      </c>
      <c r="M760" s="43"/>
      <c r="N760" s="43"/>
      <c r="O760" s="43"/>
      <c r="P760" s="43"/>
      <c r="Q760" s="43"/>
    </row>
    <row r="761" spans="1:18" ht="19.95" customHeight="1" x14ac:dyDescent="0.25">
      <c r="A761" s="151"/>
      <c r="B761" s="126" t="s">
        <v>22</v>
      </c>
      <c r="C761" s="127">
        <f>SUM(C677:C760)</f>
        <v>2528.8719000000001</v>
      </c>
      <c r="D761" s="127"/>
      <c r="E761" s="127"/>
      <c r="F761" s="127"/>
      <c r="G761" s="127"/>
      <c r="H761" s="127">
        <f t="shared" ref="H761:Q761" si="671">SUM(H687:H760)</f>
        <v>436.25140000000005</v>
      </c>
      <c r="I761" s="127">
        <f t="shared" si="671"/>
        <v>366.43100000000004</v>
      </c>
      <c r="J761" s="127">
        <f t="shared" si="671"/>
        <v>69.820399999999992</v>
      </c>
      <c r="K761" s="127">
        <f t="shared" si="671"/>
        <v>224.45099999999999</v>
      </c>
      <c r="L761" s="127">
        <f t="shared" si="671"/>
        <v>1408.7239999999999</v>
      </c>
      <c r="M761" s="127">
        <f t="shared" si="671"/>
        <v>24.621000000000002</v>
      </c>
      <c r="N761" s="127">
        <f t="shared" si="671"/>
        <v>0</v>
      </c>
      <c r="O761" s="127">
        <f t="shared" si="671"/>
        <v>0</v>
      </c>
      <c r="P761" s="127">
        <f t="shared" si="671"/>
        <v>398.86860000000001</v>
      </c>
      <c r="Q761" s="127">
        <f t="shared" si="671"/>
        <v>49.674300000000002</v>
      </c>
      <c r="R761" s="1"/>
    </row>
    <row r="762" spans="1:18" ht="19.95" customHeight="1" x14ac:dyDescent="0.25">
      <c r="A762" s="151"/>
      <c r="B762" s="602"/>
      <c r="C762" s="272"/>
      <c r="D762" s="272"/>
      <c r="E762" s="272"/>
      <c r="F762" s="270"/>
      <c r="G762" s="255"/>
      <c r="H762" s="270"/>
      <c r="I762" s="270"/>
      <c r="J762" s="270"/>
      <c r="K762" s="270"/>
      <c r="L762" s="258">
        <v>1</v>
      </c>
      <c r="M762" s="258">
        <v>4</v>
      </c>
      <c r="N762" s="258">
        <v>5</v>
      </c>
      <c r="O762" s="258">
        <v>6</v>
      </c>
      <c r="P762" s="258">
        <v>3</v>
      </c>
      <c r="Q762" s="259">
        <v>2</v>
      </c>
    </row>
    <row r="763" spans="1:18" ht="40.049999999999997" customHeight="1" x14ac:dyDescent="0.25">
      <c r="A763" s="151"/>
      <c r="B763" s="840" t="s">
        <v>16</v>
      </c>
      <c r="C763" s="841" t="s">
        <v>17</v>
      </c>
      <c r="D763" s="841" t="s">
        <v>18</v>
      </c>
      <c r="E763" s="841" t="s">
        <v>28</v>
      </c>
      <c r="F763" s="838" t="s">
        <v>19</v>
      </c>
      <c r="G763" s="838" t="s">
        <v>13</v>
      </c>
      <c r="H763" s="838" t="s">
        <v>24</v>
      </c>
      <c r="I763" s="838" t="s">
        <v>45</v>
      </c>
      <c r="J763" s="838" t="s">
        <v>26</v>
      </c>
      <c r="K763" s="844" t="s">
        <v>864</v>
      </c>
      <c r="L763" s="838" t="s">
        <v>69</v>
      </c>
      <c r="M763" s="838" t="s">
        <v>73</v>
      </c>
      <c r="N763" s="838" t="s">
        <v>76</v>
      </c>
      <c r="O763" s="838" t="s">
        <v>77</v>
      </c>
      <c r="P763" s="838" t="s">
        <v>72</v>
      </c>
      <c r="Q763" s="838" t="s">
        <v>70</v>
      </c>
    </row>
    <row r="764" spans="1:18" ht="40.049999999999997" customHeight="1" x14ac:dyDescent="0.25">
      <c r="A764" s="151"/>
      <c r="B764" s="840"/>
      <c r="C764" s="841"/>
      <c r="D764" s="841"/>
      <c r="E764" s="841"/>
      <c r="F764" s="839"/>
      <c r="G764" s="839"/>
      <c r="H764" s="839"/>
      <c r="I764" s="839"/>
      <c r="J764" s="839"/>
      <c r="K764" s="845"/>
      <c r="L764" s="839"/>
      <c r="M764" s="839"/>
      <c r="N764" s="839"/>
      <c r="O764" s="839"/>
      <c r="P764" s="839"/>
      <c r="Q764" s="839"/>
    </row>
    <row r="765" spans="1:18" ht="15" customHeight="1" x14ac:dyDescent="0.25">
      <c r="A765" s="141" t="s">
        <v>616</v>
      </c>
      <c r="B765" s="59" t="s">
        <v>615</v>
      </c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1"/>
    </row>
    <row r="766" spans="1:18" ht="15" customHeight="1" x14ac:dyDescent="0.25">
      <c r="A766" s="559">
        <v>29.09</v>
      </c>
      <c r="B766" s="157" t="s">
        <v>258</v>
      </c>
      <c r="C766" s="34">
        <f t="shared" ref="C766:C773" si="672">D766*E766*F766-G766</f>
        <v>58.152000000000008</v>
      </c>
      <c r="D766" s="576">
        <f>27.23-2.27</f>
        <v>24.96</v>
      </c>
      <c r="E766" s="578">
        <v>2.7</v>
      </c>
      <c r="F766" s="517">
        <v>1</v>
      </c>
      <c r="G766" s="575">
        <v>9.24</v>
      </c>
      <c r="H766" s="65">
        <f t="shared" ref="H766" si="673">C766</f>
        <v>58.152000000000008</v>
      </c>
      <c r="I766" s="42">
        <f t="shared" ref="I766" si="674">H766-J766</f>
        <v>58.152000000000008</v>
      </c>
      <c r="J766" s="486"/>
      <c r="K766" s="486"/>
      <c r="L766" s="513">
        <f>I766</f>
        <v>58.152000000000008</v>
      </c>
      <c r="M766" s="575"/>
      <c r="N766" s="575"/>
      <c r="O766" s="575"/>
      <c r="P766" s="575"/>
      <c r="Q766" s="575"/>
    </row>
    <row r="767" spans="1:18" ht="15" customHeight="1" x14ac:dyDescent="0.25">
      <c r="A767" s="559"/>
      <c r="B767" s="157"/>
      <c r="C767" s="34">
        <f t="shared" si="672"/>
        <v>1.7190000000000003</v>
      </c>
      <c r="D767" s="576">
        <v>2.27</v>
      </c>
      <c r="E767" s="578">
        <v>2.7</v>
      </c>
      <c r="F767" s="517">
        <v>1</v>
      </c>
      <c r="G767" s="575">
        <v>4.41</v>
      </c>
      <c r="H767" s="575"/>
      <c r="I767" s="575"/>
      <c r="J767" s="575"/>
      <c r="K767" s="575"/>
      <c r="L767" s="578">
        <f>C767</f>
        <v>1.7190000000000003</v>
      </c>
      <c r="M767" s="575"/>
      <c r="N767" s="575"/>
      <c r="O767" s="575"/>
      <c r="P767" s="575"/>
      <c r="Q767" s="575"/>
    </row>
    <row r="768" spans="1:18" ht="15" customHeight="1" x14ac:dyDescent="0.25">
      <c r="A768" s="559">
        <v>43.75</v>
      </c>
      <c r="B768" s="157" t="s">
        <v>346</v>
      </c>
      <c r="C768" s="34">
        <f t="shared" si="672"/>
        <v>91.34</v>
      </c>
      <c r="D768" s="578">
        <v>28.1</v>
      </c>
      <c r="E768" s="578">
        <v>3.4</v>
      </c>
      <c r="F768" s="517">
        <v>1</v>
      </c>
      <c r="G768" s="600">
        <v>4.2</v>
      </c>
      <c r="H768" s="65">
        <f t="shared" ref="H768" si="675">C768</f>
        <v>91.34</v>
      </c>
      <c r="I768" s="42">
        <f t="shared" ref="I768" si="676">H768-J768</f>
        <v>91.34</v>
      </c>
      <c r="J768" s="575"/>
      <c r="K768" s="575"/>
      <c r="L768" s="576"/>
      <c r="M768" s="578">
        <f>I768</f>
        <v>91.34</v>
      </c>
      <c r="N768" s="575"/>
      <c r="O768" s="575"/>
      <c r="P768" s="575"/>
      <c r="Q768" s="575"/>
    </row>
    <row r="769" spans="1:17" ht="15" customHeight="1" x14ac:dyDescent="0.25">
      <c r="A769" s="559">
        <v>7.45</v>
      </c>
      <c r="B769" s="157" t="s">
        <v>724</v>
      </c>
      <c r="C769" s="34">
        <f t="shared" si="672"/>
        <v>49.185000000000002</v>
      </c>
      <c r="D769" s="576">
        <v>10.93</v>
      </c>
      <c r="E769" s="578">
        <v>4.5</v>
      </c>
      <c r="F769" s="517">
        <v>1</v>
      </c>
      <c r="G769" s="575"/>
      <c r="H769" s="575"/>
      <c r="I769" s="575"/>
      <c r="J769" s="575"/>
      <c r="K769" s="575"/>
      <c r="L769" s="576"/>
      <c r="M769" s="575"/>
      <c r="N769" s="575"/>
      <c r="O769" s="575"/>
      <c r="P769" s="575"/>
      <c r="Q769" s="575"/>
    </row>
    <row r="770" spans="1:17" ht="15" customHeight="1" x14ac:dyDescent="0.25">
      <c r="A770" s="559">
        <v>8.23</v>
      </c>
      <c r="B770" s="157" t="s">
        <v>725</v>
      </c>
      <c r="C770" s="34">
        <f t="shared" si="672"/>
        <v>52.02</v>
      </c>
      <c r="D770" s="576">
        <v>11.56</v>
      </c>
      <c r="E770" s="578">
        <v>4.5</v>
      </c>
      <c r="F770" s="517">
        <v>1</v>
      </c>
      <c r="G770" s="575"/>
      <c r="H770" s="599"/>
      <c r="I770" s="575"/>
      <c r="J770" s="575"/>
      <c r="K770" s="575"/>
      <c r="L770" s="576"/>
      <c r="M770" s="575"/>
      <c r="N770" s="575"/>
      <c r="O770" s="575"/>
      <c r="P770" s="575"/>
      <c r="Q770" s="575"/>
    </row>
    <row r="771" spans="1:17" ht="15" customHeight="1" x14ac:dyDescent="0.25">
      <c r="A771" s="563">
        <v>3.9</v>
      </c>
      <c r="B771" s="157" t="s">
        <v>726</v>
      </c>
      <c r="C771" s="34">
        <f t="shared" si="672"/>
        <v>37.484999999999999</v>
      </c>
      <c r="D771" s="576">
        <v>8.33</v>
      </c>
      <c r="E771" s="578">
        <v>4.5</v>
      </c>
      <c r="F771" s="517">
        <v>1</v>
      </c>
      <c r="G771" s="575"/>
      <c r="H771" s="65">
        <f t="shared" ref="H771" si="677">C771</f>
        <v>37.484999999999999</v>
      </c>
      <c r="I771" s="42">
        <f t="shared" ref="I771" si="678">H771-J771</f>
        <v>37.484999999999999</v>
      </c>
      <c r="J771" s="575"/>
      <c r="K771" s="575"/>
      <c r="L771" s="576"/>
      <c r="M771" s="575"/>
      <c r="N771" s="575"/>
      <c r="O771" s="575"/>
      <c r="P771" s="575"/>
      <c r="Q771" s="575"/>
    </row>
    <row r="772" spans="1:17" ht="15" customHeight="1" x14ac:dyDescent="0.25">
      <c r="A772" s="563">
        <v>3.28</v>
      </c>
      <c r="B772" s="157" t="s">
        <v>229</v>
      </c>
      <c r="C772" s="34">
        <f t="shared" si="672"/>
        <v>69.75</v>
      </c>
      <c r="D772" s="578">
        <v>15.5</v>
      </c>
      <c r="E772" s="578">
        <v>4.5</v>
      </c>
      <c r="F772" s="33">
        <v>1</v>
      </c>
      <c r="G772" s="575"/>
      <c r="H772" s="65">
        <f t="shared" ref="H772:H773" si="679">C772</f>
        <v>69.75</v>
      </c>
      <c r="I772" s="42">
        <f t="shared" ref="I772:I773" si="680">H772-J772</f>
        <v>69.75</v>
      </c>
      <c r="J772" s="575"/>
      <c r="K772" s="575"/>
      <c r="L772" s="576"/>
      <c r="M772" s="575"/>
      <c r="N772" s="575"/>
      <c r="O772" s="575"/>
      <c r="P772" s="575"/>
      <c r="Q772" s="575"/>
    </row>
    <row r="773" spans="1:17" ht="15" customHeight="1" x14ac:dyDescent="0.25">
      <c r="A773" s="563">
        <v>0.56000000000000005</v>
      </c>
      <c r="B773" s="157" t="s">
        <v>229</v>
      </c>
      <c r="C773" s="34">
        <f t="shared" si="672"/>
        <v>22.905000000000001</v>
      </c>
      <c r="D773" s="576">
        <v>5.09</v>
      </c>
      <c r="E773" s="578">
        <v>4.5</v>
      </c>
      <c r="F773" s="33">
        <v>1</v>
      </c>
      <c r="G773" s="575"/>
      <c r="H773" s="65">
        <f t="shared" si="679"/>
        <v>22.905000000000001</v>
      </c>
      <c r="I773" s="42">
        <f t="shared" si="680"/>
        <v>22.905000000000001</v>
      </c>
      <c r="J773" s="575"/>
      <c r="K773" s="575"/>
      <c r="L773" s="576"/>
      <c r="M773" s="575"/>
      <c r="N773" s="575"/>
      <c r="O773" s="575"/>
      <c r="P773" s="575"/>
      <c r="Q773" s="575"/>
    </row>
    <row r="774" spans="1:17" ht="15" customHeight="1" x14ac:dyDescent="0.25">
      <c r="A774" s="219">
        <v>52.8</v>
      </c>
      <c r="B774" s="220" t="s">
        <v>168</v>
      </c>
      <c r="C774" s="34">
        <f t="shared" ref="C774:C807" si="681">D774*E774*F774-G774</f>
        <v>88.489899999999992</v>
      </c>
      <c r="D774" s="513">
        <f>48.08-19.37</f>
        <v>28.709999999999997</v>
      </c>
      <c r="E774" s="486">
        <v>3.69</v>
      </c>
      <c r="F774" s="517">
        <v>1</v>
      </c>
      <c r="G774" s="485">
        <v>17.45</v>
      </c>
      <c r="H774" s="65"/>
      <c r="I774" s="42"/>
      <c r="J774" s="486"/>
      <c r="K774" s="486"/>
      <c r="L774" s="513">
        <f>C774</f>
        <v>88.489899999999992</v>
      </c>
      <c r="M774" s="513"/>
      <c r="N774" s="486"/>
      <c r="O774" s="486"/>
      <c r="P774" s="486"/>
      <c r="Q774" s="486"/>
    </row>
    <row r="775" spans="1:17" ht="15" customHeight="1" x14ac:dyDescent="0.25">
      <c r="A775" s="150"/>
      <c r="B775" s="157"/>
      <c r="C775" s="34">
        <f t="shared" si="681"/>
        <v>71.475300000000004</v>
      </c>
      <c r="D775" s="513">
        <v>19.37</v>
      </c>
      <c r="E775" s="486">
        <v>3.69</v>
      </c>
      <c r="F775" s="517">
        <v>1</v>
      </c>
      <c r="G775" s="485"/>
      <c r="H775" s="65">
        <f t="shared" ref="H775" si="682">C775</f>
        <v>71.475300000000004</v>
      </c>
      <c r="I775" s="42">
        <f t="shared" ref="I775" si="683">H775-J775</f>
        <v>71.475300000000004</v>
      </c>
      <c r="J775" s="486"/>
      <c r="K775" s="486"/>
      <c r="L775" s="513">
        <f>I775</f>
        <v>71.475300000000004</v>
      </c>
      <c r="M775" s="513"/>
      <c r="N775" s="486"/>
      <c r="O775" s="486"/>
      <c r="P775" s="486"/>
      <c r="Q775" s="486"/>
    </row>
    <row r="776" spans="1:17" ht="15" customHeight="1" x14ac:dyDescent="0.25">
      <c r="A776" s="150">
        <v>3.6</v>
      </c>
      <c r="B776" s="157" t="s">
        <v>648</v>
      </c>
      <c r="C776" s="34">
        <f t="shared" si="681"/>
        <v>30.4709</v>
      </c>
      <c r="D776" s="486">
        <v>10.61</v>
      </c>
      <c r="E776" s="486">
        <v>3.69</v>
      </c>
      <c r="F776" s="517">
        <v>1</v>
      </c>
      <c r="G776" s="485">
        <v>8.68</v>
      </c>
      <c r="H776" s="65"/>
      <c r="I776" s="42"/>
      <c r="J776" s="486"/>
      <c r="K776" s="486"/>
      <c r="L776" s="513">
        <f>C776</f>
        <v>30.4709</v>
      </c>
      <c r="M776" s="513"/>
      <c r="N776" s="486"/>
      <c r="O776" s="486"/>
      <c r="P776" s="486"/>
      <c r="Q776" s="486"/>
    </row>
    <row r="777" spans="1:17" ht="15" customHeight="1" x14ac:dyDescent="0.25">
      <c r="A777" s="150">
        <v>3.03</v>
      </c>
      <c r="B777" s="15" t="s">
        <v>229</v>
      </c>
      <c r="C777" s="34">
        <f t="shared" si="681"/>
        <v>14.1112</v>
      </c>
      <c r="D777" s="486">
        <f>8.51-3.03</f>
        <v>5.48</v>
      </c>
      <c r="E777" s="486">
        <v>3.69</v>
      </c>
      <c r="F777" s="517">
        <v>1</v>
      </c>
      <c r="G777" s="485">
        <v>6.11</v>
      </c>
      <c r="H777" s="65"/>
      <c r="I777" s="42"/>
      <c r="J777" s="486"/>
      <c r="K777" s="486"/>
      <c r="L777" s="513">
        <f>C777</f>
        <v>14.1112</v>
      </c>
      <c r="M777" s="513"/>
      <c r="N777" s="486"/>
      <c r="O777" s="486"/>
      <c r="P777" s="486"/>
      <c r="Q777" s="486"/>
    </row>
    <row r="778" spans="1:17" ht="15" customHeight="1" x14ac:dyDescent="0.25">
      <c r="A778" s="150"/>
      <c r="B778" s="15"/>
      <c r="C778" s="34">
        <f t="shared" si="681"/>
        <v>11.1807</v>
      </c>
      <c r="D778" s="486">
        <v>3.03</v>
      </c>
      <c r="E778" s="486">
        <v>3.69</v>
      </c>
      <c r="F778" s="517">
        <v>1</v>
      </c>
      <c r="G778" s="485"/>
      <c r="H778" s="65">
        <f t="shared" ref="H778" si="684">C778</f>
        <v>11.1807</v>
      </c>
      <c r="I778" s="42">
        <f t="shared" ref="I778" si="685">H778-J778</f>
        <v>11.1807</v>
      </c>
      <c r="J778" s="486"/>
      <c r="K778" s="486"/>
      <c r="L778" s="513">
        <f t="shared" ref="L778" si="686">I778</f>
        <v>11.1807</v>
      </c>
      <c r="M778" s="513"/>
      <c r="N778" s="486"/>
      <c r="O778" s="486"/>
      <c r="P778" s="486"/>
      <c r="Q778" s="486"/>
    </row>
    <row r="779" spans="1:17" ht="15" customHeight="1" x14ac:dyDescent="0.25">
      <c r="A779" s="150">
        <v>1.1000000000000001</v>
      </c>
      <c r="B779" s="15" t="s">
        <v>229</v>
      </c>
      <c r="C779" s="34">
        <f t="shared" si="681"/>
        <v>6.2276000000000042</v>
      </c>
      <c r="D779" s="486">
        <f>7.44-3.4</f>
        <v>4.0400000000000009</v>
      </c>
      <c r="E779" s="486">
        <v>3.69</v>
      </c>
      <c r="F779" s="517">
        <v>1</v>
      </c>
      <c r="G779" s="485">
        <v>8.68</v>
      </c>
      <c r="H779" s="65"/>
      <c r="I779" s="42"/>
      <c r="J779" s="486"/>
      <c r="K779" s="486"/>
      <c r="L779" s="513">
        <f>C779</f>
        <v>6.2276000000000042</v>
      </c>
      <c r="M779" s="513"/>
      <c r="N779" s="486"/>
      <c r="O779" s="486"/>
      <c r="P779" s="486"/>
      <c r="Q779" s="486"/>
    </row>
    <row r="780" spans="1:17" ht="15" customHeight="1" x14ac:dyDescent="0.25">
      <c r="A780" s="150"/>
      <c r="B780" s="15"/>
      <c r="C780" s="34">
        <f t="shared" si="681"/>
        <v>12.545999999999999</v>
      </c>
      <c r="D780" s="513">
        <v>3.4</v>
      </c>
      <c r="E780" s="486">
        <v>3.69</v>
      </c>
      <c r="F780" s="517">
        <v>1</v>
      </c>
      <c r="G780" s="485"/>
      <c r="H780" s="65">
        <f t="shared" ref="H780" si="687">C780</f>
        <v>12.545999999999999</v>
      </c>
      <c r="I780" s="42">
        <f t="shared" ref="I780" si="688">H780-J780</f>
        <v>12.545999999999999</v>
      </c>
      <c r="J780" s="486"/>
      <c r="K780" s="486"/>
      <c r="L780" s="513">
        <f t="shared" ref="L780" si="689">I780</f>
        <v>12.545999999999999</v>
      </c>
      <c r="M780" s="513"/>
      <c r="N780" s="486"/>
      <c r="O780" s="486"/>
      <c r="P780" s="486"/>
      <c r="Q780" s="486"/>
    </row>
    <row r="781" spans="1:17" ht="15" customHeight="1" x14ac:dyDescent="0.25">
      <c r="A781" s="150">
        <v>14.9</v>
      </c>
      <c r="B781" s="15" t="s">
        <v>617</v>
      </c>
      <c r="C781" s="34">
        <f t="shared" si="681"/>
        <v>57.3795</v>
      </c>
      <c r="D781" s="486">
        <v>15.55</v>
      </c>
      <c r="E781" s="486">
        <v>3.69</v>
      </c>
      <c r="F781" s="517">
        <v>1</v>
      </c>
      <c r="G781" s="485"/>
      <c r="H781" s="65"/>
      <c r="I781" s="42"/>
      <c r="J781" s="486"/>
      <c r="K781" s="486"/>
      <c r="L781" s="513">
        <f>C781</f>
        <v>57.3795</v>
      </c>
      <c r="M781" s="513"/>
      <c r="N781" s="486"/>
      <c r="O781" s="486"/>
      <c r="P781" s="486"/>
      <c r="Q781" s="486"/>
    </row>
    <row r="782" spans="1:17" ht="15" customHeight="1" x14ac:dyDescent="0.25">
      <c r="A782" s="150">
        <v>3</v>
      </c>
      <c r="B782" s="15" t="s">
        <v>213</v>
      </c>
      <c r="C782" s="34">
        <f t="shared" si="681"/>
        <v>26.198999999999998</v>
      </c>
      <c r="D782" s="513">
        <v>7.1</v>
      </c>
      <c r="E782" s="486">
        <v>3.69</v>
      </c>
      <c r="F782" s="517">
        <v>1</v>
      </c>
      <c r="G782" s="485"/>
      <c r="H782" s="65"/>
      <c r="I782" s="42"/>
      <c r="J782" s="43"/>
      <c r="K782" s="43"/>
      <c r="L782" s="513"/>
      <c r="M782" s="513"/>
      <c r="N782" s="486"/>
      <c r="O782" s="486"/>
      <c r="P782" s="513">
        <f>C782</f>
        <v>26.198999999999998</v>
      </c>
      <c r="Q782" s="486"/>
    </row>
    <row r="783" spans="1:17" ht="15" customHeight="1" x14ac:dyDescent="0.25">
      <c r="A783" s="150">
        <v>19.37</v>
      </c>
      <c r="B783" s="157" t="s">
        <v>168</v>
      </c>
      <c r="C783" s="34">
        <f t="shared" si="681"/>
        <v>82.061400000000006</v>
      </c>
      <c r="D783" s="486">
        <f>25.26-1.2</f>
        <v>24.060000000000002</v>
      </c>
      <c r="E783" s="486">
        <v>3.69</v>
      </c>
      <c r="F783" s="517">
        <v>1</v>
      </c>
      <c r="G783" s="485">
        <v>6.72</v>
      </c>
      <c r="H783" s="65"/>
      <c r="I783" s="42"/>
      <c r="J783" s="486"/>
      <c r="K783" s="486"/>
      <c r="L783" s="513">
        <f>C783</f>
        <v>82.061400000000006</v>
      </c>
      <c r="M783" s="513"/>
      <c r="N783" s="486"/>
      <c r="O783" s="486"/>
      <c r="P783" s="486"/>
      <c r="Q783" s="486"/>
    </row>
    <row r="784" spans="1:17" ht="15" customHeight="1" x14ac:dyDescent="0.25">
      <c r="A784" s="150"/>
      <c r="B784" s="157"/>
      <c r="C784" s="34">
        <f t="shared" si="681"/>
        <v>6.6051000000000002</v>
      </c>
      <c r="D784" s="486">
        <v>1.79</v>
      </c>
      <c r="E784" s="486">
        <v>3.69</v>
      </c>
      <c r="F784" s="517">
        <v>1</v>
      </c>
      <c r="G784" s="485"/>
      <c r="H784" s="65">
        <f t="shared" ref="H784" si="690">C784</f>
        <v>6.6051000000000002</v>
      </c>
      <c r="I784" s="42">
        <f t="shared" ref="I784" si="691">H784-J784</f>
        <v>6.6051000000000002</v>
      </c>
      <c r="J784" s="486"/>
      <c r="K784" s="486"/>
      <c r="L784" s="513">
        <f t="shared" ref="L784" si="692">I784</f>
        <v>6.6051000000000002</v>
      </c>
      <c r="M784" s="513"/>
      <c r="N784" s="486"/>
      <c r="O784" s="486"/>
      <c r="P784" s="486"/>
      <c r="Q784" s="486"/>
    </row>
    <row r="785" spans="1:17" ht="15" customHeight="1" x14ac:dyDescent="0.25">
      <c r="A785" s="150">
        <v>8.81</v>
      </c>
      <c r="B785" s="15" t="s">
        <v>618</v>
      </c>
      <c r="C785" s="34">
        <f t="shared" si="681"/>
        <v>49.630499999999998</v>
      </c>
      <c r="D785" s="486">
        <v>13.45</v>
      </c>
      <c r="E785" s="486">
        <v>3.69</v>
      </c>
      <c r="F785" s="517">
        <v>1</v>
      </c>
      <c r="G785" s="485"/>
      <c r="H785" s="65"/>
      <c r="I785" s="42"/>
      <c r="J785" s="486"/>
      <c r="K785" s="486"/>
      <c r="L785" s="513">
        <f>C785</f>
        <v>49.630499999999998</v>
      </c>
      <c r="M785" s="513"/>
      <c r="N785" s="486"/>
      <c r="O785" s="486"/>
      <c r="P785" s="486"/>
      <c r="Q785" s="486"/>
    </row>
    <row r="786" spans="1:17" ht="15" customHeight="1" x14ac:dyDescent="0.25">
      <c r="A786" s="150">
        <v>1.55</v>
      </c>
      <c r="B786" s="15" t="s">
        <v>205</v>
      </c>
      <c r="C786" s="34">
        <f t="shared" si="681"/>
        <v>14.021999999999998</v>
      </c>
      <c r="D786" s="514">
        <f>5-1.2</f>
        <v>3.8</v>
      </c>
      <c r="E786" s="486">
        <v>3.69</v>
      </c>
      <c r="F786" s="517">
        <v>1</v>
      </c>
      <c r="G786" s="485"/>
      <c r="H786" s="65"/>
      <c r="I786" s="42"/>
      <c r="J786" s="486"/>
      <c r="K786" s="486"/>
      <c r="L786" s="513">
        <f>C786</f>
        <v>14.021999999999998</v>
      </c>
      <c r="M786" s="513"/>
      <c r="N786" s="486"/>
      <c r="O786" s="486"/>
      <c r="P786" s="486"/>
      <c r="Q786" s="486"/>
    </row>
    <row r="787" spans="1:17" ht="15" customHeight="1" x14ac:dyDescent="0.25">
      <c r="A787" s="150">
        <v>3.16</v>
      </c>
      <c r="B787" s="15" t="s">
        <v>212</v>
      </c>
      <c r="C787" s="34">
        <f t="shared" si="681"/>
        <v>30.553199999999997</v>
      </c>
      <c r="D787" s="514">
        <v>8.2799999999999994</v>
      </c>
      <c r="E787" s="486">
        <v>3.69</v>
      </c>
      <c r="F787" s="517">
        <v>1</v>
      </c>
      <c r="G787" s="485"/>
      <c r="H787" s="65"/>
      <c r="I787" s="42"/>
      <c r="J787" s="486"/>
      <c r="K787" s="486"/>
      <c r="L787" s="513">
        <f>C787</f>
        <v>30.553199999999997</v>
      </c>
      <c r="M787" s="513"/>
      <c r="N787" s="486"/>
      <c r="O787" s="486"/>
      <c r="P787" s="486"/>
      <c r="Q787" s="486"/>
    </row>
    <row r="788" spans="1:17" ht="15" customHeight="1" x14ac:dyDescent="0.25">
      <c r="A788" s="219">
        <v>3.13</v>
      </c>
      <c r="B788" s="220" t="s">
        <v>205</v>
      </c>
      <c r="C788" s="34">
        <f t="shared" si="681"/>
        <v>17.340900000000001</v>
      </c>
      <c r="D788" s="514">
        <f>7.15-1.54</f>
        <v>5.61</v>
      </c>
      <c r="E788" s="486">
        <v>3.69</v>
      </c>
      <c r="F788" s="517">
        <v>1</v>
      </c>
      <c r="G788" s="485">
        <v>3.36</v>
      </c>
      <c r="H788" s="65"/>
      <c r="I788" s="42"/>
      <c r="J788" s="486"/>
      <c r="K788" s="486"/>
      <c r="L788" s="513">
        <f>C788</f>
        <v>17.340900000000001</v>
      </c>
      <c r="M788" s="513"/>
      <c r="N788" s="486"/>
      <c r="O788" s="486"/>
      <c r="P788" s="486"/>
      <c r="Q788" s="486"/>
    </row>
    <row r="789" spans="1:17" ht="15" customHeight="1" x14ac:dyDescent="0.25">
      <c r="A789" s="150"/>
      <c r="B789" s="157"/>
      <c r="C789" s="34">
        <f t="shared" si="681"/>
        <v>4.08</v>
      </c>
      <c r="D789" s="514">
        <v>2.04</v>
      </c>
      <c r="E789" s="513">
        <v>2</v>
      </c>
      <c r="F789" s="517">
        <v>1</v>
      </c>
      <c r="G789" s="485"/>
      <c r="H789" s="65">
        <f t="shared" ref="H789" si="693">C789</f>
        <v>4.08</v>
      </c>
      <c r="I789" s="42">
        <f t="shared" ref="I789" si="694">H789-J789</f>
        <v>4.08</v>
      </c>
      <c r="J789" s="486"/>
      <c r="K789" s="486"/>
      <c r="L789" s="513">
        <f t="shared" ref="L789" si="695">I789</f>
        <v>4.08</v>
      </c>
      <c r="M789" s="513"/>
      <c r="N789" s="486"/>
      <c r="O789" s="486"/>
      <c r="P789" s="486"/>
      <c r="Q789" s="486"/>
    </row>
    <row r="790" spans="1:17" ht="15" customHeight="1" x14ac:dyDescent="0.25">
      <c r="A790" s="150"/>
      <c r="B790" s="157"/>
      <c r="C790" s="34">
        <f t="shared" si="681"/>
        <v>6.16</v>
      </c>
      <c r="D790" s="514">
        <v>1.54</v>
      </c>
      <c r="E790" s="513">
        <v>4</v>
      </c>
      <c r="F790" s="517">
        <v>1</v>
      </c>
      <c r="G790" s="485"/>
      <c r="H790" s="65">
        <f t="shared" ref="H790" si="696">C790</f>
        <v>6.16</v>
      </c>
      <c r="I790" s="42">
        <f t="shared" ref="I790" si="697">H790-J790</f>
        <v>6.16</v>
      </c>
      <c r="J790" s="486"/>
      <c r="K790" s="486"/>
      <c r="L790" s="513">
        <f t="shared" ref="L790" si="698">I790</f>
        <v>6.16</v>
      </c>
      <c r="M790" s="513"/>
      <c r="N790" s="486"/>
      <c r="O790" s="486"/>
      <c r="P790" s="486"/>
      <c r="Q790" s="486"/>
    </row>
    <row r="791" spans="1:17" ht="15" customHeight="1" x14ac:dyDescent="0.25">
      <c r="A791" s="150">
        <v>3.54</v>
      </c>
      <c r="B791" s="15" t="s">
        <v>158</v>
      </c>
      <c r="C791" s="34">
        <f t="shared" si="681"/>
        <v>20.110499999999998</v>
      </c>
      <c r="D791" s="514">
        <f>7.6-2.15</f>
        <v>5.4499999999999993</v>
      </c>
      <c r="E791" s="486">
        <v>3.69</v>
      </c>
      <c r="F791" s="517">
        <v>1</v>
      </c>
      <c r="G791" s="485"/>
      <c r="H791" s="65"/>
      <c r="I791" s="42"/>
      <c r="J791" s="43"/>
      <c r="K791" s="43"/>
      <c r="L791" s="513"/>
      <c r="M791" s="513"/>
      <c r="N791" s="486"/>
      <c r="O791" s="486"/>
      <c r="P791" s="486"/>
      <c r="Q791" s="513">
        <f>C791</f>
        <v>20.110499999999998</v>
      </c>
    </row>
    <row r="792" spans="1:17" ht="15" customHeight="1" x14ac:dyDescent="0.25">
      <c r="A792" s="150"/>
      <c r="B792" s="15"/>
      <c r="C792" s="34">
        <f t="shared" si="681"/>
        <v>7.9334999999999996</v>
      </c>
      <c r="D792" s="514">
        <v>2.15</v>
      </c>
      <c r="E792" s="486">
        <v>3.69</v>
      </c>
      <c r="F792" s="517">
        <v>1</v>
      </c>
      <c r="G792" s="485"/>
      <c r="H792" s="65">
        <f t="shared" ref="H792" si="699">C792</f>
        <v>7.9334999999999996</v>
      </c>
      <c r="I792" s="42"/>
      <c r="J792" s="43">
        <f t="shared" ref="J792" si="700">H792-I792</f>
        <v>7.9334999999999996</v>
      </c>
      <c r="K792" s="43"/>
      <c r="L792" s="513"/>
      <c r="M792" s="513"/>
      <c r="N792" s="486"/>
      <c r="O792" s="486"/>
      <c r="P792" s="486"/>
      <c r="Q792" s="513">
        <f>J792</f>
        <v>7.9334999999999996</v>
      </c>
    </row>
    <row r="793" spans="1:17" ht="15" customHeight="1" x14ac:dyDescent="0.25">
      <c r="A793" s="150">
        <v>5.88</v>
      </c>
      <c r="B793" s="15" t="s">
        <v>619</v>
      </c>
      <c r="C793" s="34">
        <f t="shared" si="681"/>
        <v>28.413000000000004</v>
      </c>
      <c r="D793" s="514">
        <f>9.8-2.1</f>
        <v>7.7000000000000011</v>
      </c>
      <c r="E793" s="486">
        <v>3.69</v>
      </c>
      <c r="F793" s="517">
        <v>1</v>
      </c>
      <c r="G793" s="485"/>
      <c r="H793" s="65"/>
      <c r="I793" s="42"/>
      <c r="J793" s="486"/>
      <c r="K793" s="486"/>
      <c r="L793" s="513">
        <f>C793</f>
        <v>28.413000000000004</v>
      </c>
      <c r="M793" s="513"/>
      <c r="N793" s="486"/>
      <c r="O793" s="486"/>
      <c r="P793" s="486"/>
      <c r="Q793" s="486"/>
    </row>
    <row r="794" spans="1:17" ht="15" customHeight="1" x14ac:dyDescent="0.25">
      <c r="A794" s="150"/>
      <c r="B794" s="15"/>
      <c r="C794" s="34">
        <f t="shared" si="681"/>
        <v>7.7490000000000006</v>
      </c>
      <c r="D794" s="514">
        <v>2.1</v>
      </c>
      <c r="E794" s="486">
        <v>3.69</v>
      </c>
      <c r="F794" s="517">
        <v>1</v>
      </c>
      <c r="G794" s="485"/>
      <c r="H794" s="65">
        <f t="shared" ref="H794" si="701">C794</f>
        <v>7.7490000000000006</v>
      </c>
      <c r="I794" s="42">
        <f t="shared" ref="I794" si="702">H794-J794</f>
        <v>7.7490000000000006</v>
      </c>
      <c r="J794" s="486"/>
      <c r="K794" s="486"/>
      <c r="L794" s="513">
        <f>I794</f>
        <v>7.7490000000000006</v>
      </c>
      <c r="M794" s="513"/>
      <c r="N794" s="486"/>
      <c r="O794" s="486"/>
      <c r="P794" s="486"/>
      <c r="Q794" s="486"/>
    </row>
    <row r="795" spans="1:17" ht="15" customHeight="1" x14ac:dyDescent="0.25">
      <c r="A795" s="219">
        <v>3.21</v>
      </c>
      <c r="B795" s="220" t="s">
        <v>205</v>
      </c>
      <c r="C795" s="34">
        <f t="shared" si="681"/>
        <v>9.850200000000001</v>
      </c>
      <c r="D795" s="514">
        <f>7.17-3.59</f>
        <v>3.58</v>
      </c>
      <c r="E795" s="486">
        <v>3.69</v>
      </c>
      <c r="F795" s="517">
        <v>1</v>
      </c>
      <c r="G795" s="485">
        <v>3.36</v>
      </c>
      <c r="H795" s="65"/>
      <c r="I795" s="42"/>
      <c r="J795" s="486"/>
      <c r="K795" s="486"/>
      <c r="L795" s="513">
        <f>C795</f>
        <v>9.850200000000001</v>
      </c>
      <c r="M795" s="513"/>
      <c r="N795" s="486"/>
      <c r="O795" s="486"/>
      <c r="P795" s="486"/>
      <c r="Q795" s="486"/>
    </row>
    <row r="796" spans="1:17" ht="15" customHeight="1" x14ac:dyDescent="0.25">
      <c r="A796" s="150"/>
      <c r="B796" s="157"/>
      <c r="C796" s="34">
        <f t="shared" si="681"/>
        <v>14.36</v>
      </c>
      <c r="D796" s="514">
        <v>3.59</v>
      </c>
      <c r="E796" s="513">
        <v>4</v>
      </c>
      <c r="F796" s="517">
        <v>1</v>
      </c>
      <c r="G796" s="485"/>
      <c r="H796" s="65">
        <f t="shared" ref="H796" si="703">C796</f>
        <v>14.36</v>
      </c>
      <c r="I796" s="42">
        <f t="shared" ref="I796" si="704">H796-J796</f>
        <v>14.36</v>
      </c>
      <c r="J796" s="486"/>
      <c r="K796" s="486"/>
      <c r="L796" s="513">
        <f>I796</f>
        <v>14.36</v>
      </c>
      <c r="M796" s="513"/>
      <c r="N796" s="486"/>
      <c r="O796" s="486"/>
      <c r="P796" s="486"/>
      <c r="Q796" s="486"/>
    </row>
    <row r="797" spans="1:17" ht="15" customHeight="1" x14ac:dyDescent="0.25">
      <c r="A797" s="219">
        <v>29.23</v>
      </c>
      <c r="B797" s="220" t="s">
        <v>626</v>
      </c>
      <c r="C797" s="34">
        <f t="shared" si="681"/>
        <v>8.6325000000000003</v>
      </c>
      <c r="D797" s="514">
        <v>3.25</v>
      </c>
      <c r="E797" s="486">
        <v>3.69</v>
      </c>
      <c r="F797" s="517">
        <v>1</v>
      </c>
      <c r="G797" s="485">
        <v>3.36</v>
      </c>
      <c r="H797" s="65"/>
      <c r="I797" s="42"/>
      <c r="J797" s="486"/>
      <c r="K797" s="486"/>
      <c r="L797" s="513"/>
      <c r="M797" s="513">
        <f>C797</f>
        <v>8.6325000000000003</v>
      </c>
      <c r="N797" s="486"/>
      <c r="O797" s="486"/>
      <c r="P797" s="486"/>
      <c r="Q797" s="486"/>
    </row>
    <row r="798" spans="1:17" ht="15" customHeight="1" x14ac:dyDescent="0.25">
      <c r="A798" s="150"/>
      <c r="B798" s="157"/>
      <c r="C798" s="34">
        <f t="shared" si="681"/>
        <v>87.858899999999991</v>
      </c>
      <c r="D798" s="514">
        <v>23.81</v>
      </c>
      <c r="E798" s="486">
        <v>3.69</v>
      </c>
      <c r="F798" s="517">
        <v>1</v>
      </c>
      <c r="G798" s="485"/>
      <c r="H798" s="65">
        <f t="shared" ref="H798" si="705">C798</f>
        <v>87.858899999999991</v>
      </c>
      <c r="I798" s="42">
        <f t="shared" ref="I798" si="706">H798-J798</f>
        <v>87.858899999999991</v>
      </c>
      <c r="J798" s="486"/>
      <c r="K798" s="486"/>
      <c r="L798" s="513"/>
      <c r="M798" s="513">
        <f t="shared" ref="M798" si="707">I798</f>
        <v>87.858899999999991</v>
      </c>
      <c r="N798" s="486"/>
      <c r="O798" s="486"/>
      <c r="P798" s="486"/>
      <c r="Q798" s="486"/>
    </row>
    <row r="799" spans="1:17" ht="15" customHeight="1" x14ac:dyDescent="0.25">
      <c r="A799" s="150">
        <v>11.91</v>
      </c>
      <c r="B799" s="15" t="s">
        <v>620</v>
      </c>
      <c r="C799" s="34">
        <f t="shared" si="681"/>
        <v>32.174699999999994</v>
      </c>
      <c r="D799" s="514">
        <f>14.92-5.29</f>
        <v>9.629999999999999</v>
      </c>
      <c r="E799" s="486">
        <v>3.69</v>
      </c>
      <c r="F799" s="517">
        <v>1</v>
      </c>
      <c r="G799" s="485">
        <v>3.36</v>
      </c>
      <c r="H799" s="65"/>
      <c r="I799" s="42"/>
      <c r="J799" s="486"/>
      <c r="K799" s="486"/>
      <c r="L799" s="513">
        <f>C799</f>
        <v>32.174699999999994</v>
      </c>
      <c r="M799" s="513"/>
      <c r="N799" s="486"/>
      <c r="O799" s="486"/>
      <c r="P799" s="486"/>
      <c r="Q799" s="486"/>
    </row>
    <row r="800" spans="1:17" ht="15" customHeight="1" x14ac:dyDescent="0.25">
      <c r="A800" s="150"/>
      <c r="B800" s="15"/>
      <c r="C800" s="34">
        <f t="shared" si="681"/>
        <v>19.520099999999999</v>
      </c>
      <c r="D800" s="514">
        <v>5.29</v>
      </c>
      <c r="E800" s="486">
        <v>3.69</v>
      </c>
      <c r="F800" s="517">
        <v>1</v>
      </c>
      <c r="G800" s="485"/>
      <c r="H800" s="65">
        <f t="shared" ref="H800" si="708">C800</f>
        <v>19.520099999999999</v>
      </c>
      <c r="I800" s="42">
        <f t="shared" ref="I800" si="709">H800-J800</f>
        <v>19.520099999999999</v>
      </c>
      <c r="J800" s="486"/>
      <c r="K800" s="486"/>
      <c r="L800" s="513">
        <f t="shared" ref="L800" si="710">I800</f>
        <v>19.520099999999999</v>
      </c>
      <c r="M800" s="513"/>
      <c r="N800" s="486"/>
      <c r="O800" s="486"/>
      <c r="P800" s="486"/>
      <c r="Q800" s="486"/>
    </row>
    <row r="801" spans="1:18" ht="15" customHeight="1" x14ac:dyDescent="0.25">
      <c r="A801" s="150">
        <v>18.190000000000001</v>
      </c>
      <c r="B801" s="15" t="s">
        <v>621</v>
      </c>
      <c r="C801" s="34">
        <f t="shared" si="681"/>
        <v>47.045400000000001</v>
      </c>
      <c r="D801" s="514">
        <f>17.29-3.63</f>
        <v>13.66</v>
      </c>
      <c r="E801" s="486">
        <v>3.69</v>
      </c>
      <c r="F801" s="517">
        <v>1</v>
      </c>
      <c r="G801" s="485">
        <v>3.36</v>
      </c>
      <c r="H801" s="65"/>
      <c r="I801" s="42"/>
      <c r="J801" s="486"/>
      <c r="K801" s="486"/>
      <c r="L801" s="513">
        <f>C801</f>
        <v>47.045400000000001</v>
      </c>
      <c r="M801" s="513"/>
      <c r="N801" s="486"/>
      <c r="O801" s="486"/>
      <c r="P801" s="486"/>
      <c r="Q801" s="486"/>
    </row>
    <row r="802" spans="1:18" ht="15" customHeight="1" x14ac:dyDescent="0.25">
      <c r="A802" s="150"/>
      <c r="B802" s="15"/>
      <c r="C802" s="34">
        <f t="shared" si="681"/>
        <v>13.3947</v>
      </c>
      <c r="D802" s="514">
        <v>3.63</v>
      </c>
      <c r="E802" s="486">
        <v>3.69</v>
      </c>
      <c r="F802" s="517">
        <v>1</v>
      </c>
      <c r="G802" s="485"/>
      <c r="H802" s="65">
        <f t="shared" ref="H802" si="711">C802</f>
        <v>13.3947</v>
      </c>
      <c r="I802" s="42">
        <f t="shared" ref="I802" si="712">H802-J802</f>
        <v>13.3947</v>
      </c>
      <c r="J802" s="486"/>
      <c r="K802" s="486"/>
      <c r="L802" s="513">
        <f t="shared" ref="L802" si="713">I802</f>
        <v>13.3947</v>
      </c>
      <c r="M802" s="513"/>
      <c r="N802" s="486"/>
      <c r="O802" s="486"/>
      <c r="P802" s="486"/>
      <c r="Q802" s="486"/>
    </row>
    <row r="803" spans="1:18" ht="15" customHeight="1" x14ac:dyDescent="0.25">
      <c r="A803" s="150">
        <v>24.6</v>
      </c>
      <c r="B803" s="15" t="s">
        <v>622</v>
      </c>
      <c r="C803" s="34">
        <f t="shared" si="681"/>
        <v>55.753799999999998</v>
      </c>
      <c r="D803" s="514">
        <f>19.87-3.85</f>
        <v>16.02</v>
      </c>
      <c r="E803" s="486">
        <v>3.69</v>
      </c>
      <c r="F803" s="517">
        <v>1</v>
      </c>
      <c r="G803" s="485">
        <v>3.36</v>
      </c>
      <c r="H803" s="65"/>
      <c r="I803" s="42"/>
      <c r="J803" s="486"/>
      <c r="K803" s="486"/>
      <c r="L803" s="513">
        <f>C803</f>
        <v>55.753799999999998</v>
      </c>
      <c r="M803" s="513"/>
      <c r="N803" s="486"/>
      <c r="O803" s="486"/>
      <c r="P803" s="486"/>
      <c r="Q803" s="486"/>
    </row>
    <row r="804" spans="1:18" ht="15" customHeight="1" x14ac:dyDescent="0.25">
      <c r="A804" s="150"/>
      <c r="B804" s="15"/>
      <c r="C804" s="34">
        <f t="shared" si="681"/>
        <v>14.2065</v>
      </c>
      <c r="D804" s="514">
        <v>3.85</v>
      </c>
      <c r="E804" s="486">
        <v>3.69</v>
      </c>
      <c r="F804" s="517">
        <v>1</v>
      </c>
      <c r="G804" s="485"/>
      <c r="H804" s="65">
        <f t="shared" ref="H804" si="714">C804</f>
        <v>14.2065</v>
      </c>
      <c r="I804" s="42">
        <f t="shared" ref="I804" si="715">H804-J804</f>
        <v>14.2065</v>
      </c>
      <c r="J804" s="486"/>
      <c r="K804" s="486"/>
      <c r="L804" s="513">
        <f t="shared" ref="L804" si="716">I804</f>
        <v>14.2065</v>
      </c>
      <c r="M804" s="513"/>
      <c r="N804" s="486"/>
      <c r="O804" s="486"/>
      <c r="P804" s="486"/>
      <c r="Q804" s="486"/>
    </row>
    <row r="805" spans="1:18" ht="15" customHeight="1" x14ac:dyDescent="0.25">
      <c r="A805" s="219">
        <v>89.27</v>
      </c>
      <c r="B805" s="220" t="s">
        <v>623</v>
      </c>
      <c r="C805" s="34">
        <f t="shared" si="681"/>
        <v>39.06</v>
      </c>
      <c r="D805" s="514">
        <f>38.1-12.06</f>
        <v>26.04</v>
      </c>
      <c r="E805" s="514">
        <v>1.5</v>
      </c>
      <c r="F805" s="517">
        <v>1</v>
      </c>
      <c r="G805" s="485"/>
      <c r="H805" s="65">
        <f t="shared" ref="H805:H807" si="717">C805</f>
        <v>39.06</v>
      </c>
      <c r="I805" s="42">
        <f t="shared" ref="I805:I807" si="718">H805-J805</f>
        <v>39.06</v>
      </c>
      <c r="J805" s="486"/>
      <c r="K805" s="486"/>
      <c r="L805" s="486"/>
      <c r="M805" s="513">
        <f t="shared" ref="M805" si="719">I805</f>
        <v>39.06</v>
      </c>
      <c r="N805" s="486"/>
      <c r="O805" s="486"/>
      <c r="P805" s="486"/>
      <c r="Q805" s="486"/>
    </row>
    <row r="806" spans="1:18" ht="15" customHeight="1" x14ac:dyDescent="0.25">
      <c r="A806" s="150"/>
      <c r="B806" s="157"/>
      <c r="C806" s="34">
        <f t="shared" si="681"/>
        <v>48.24</v>
      </c>
      <c r="D806" s="514">
        <v>12.06</v>
      </c>
      <c r="E806" s="514">
        <v>4</v>
      </c>
      <c r="F806" s="517">
        <v>1</v>
      </c>
      <c r="G806" s="485"/>
      <c r="H806" s="65">
        <f t="shared" ref="H806" si="720">C806</f>
        <v>48.24</v>
      </c>
      <c r="I806" s="42">
        <f t="shared" ref="I806" si="721">H806-J806</f>
        <v>48.24</v>
      </c>
      <c r="J806" s="486"/>
      <c r="K806" s="486"/>
      <c r="L806" s="486"/>
      <c r="M806" s="513">
        <f t="shared" ref="M806" si="722">I806</f>
        <v>48.24</v>
      </c>
      <c r="N806" s="486"/>
      <c r="O806" s="486"/>
      <c r="P806" s="486"/>
      <c r="Q806" s="486"/>
    </row>
    <row r="807" spans="1:18" ht="15" customHeight="1" x14ac:dyDescent="0.25">
      <c r="A807" s="150">
        <v>67.900000000000006</v>
      </c>
      <c r="B807" s="15" t="s">
        <v>624</v>
      </c>
      <c r="C807" s="34">
        <f t="shared" si="681"/>
        <v>89.045999999999992</v>
      </c>
      <c r="D807" s="514">
        <v>32.979999999999997</v>
      </c>
      <c r="E807" s="513">
        <v>2.7</v>
      </c>
      <c r="F807" s="517">
        <v>1</v>
      </c>
      <c r="G807" s="485"/>
      <c r="H807" s="65">
        <f t="shared" si="717"/>
        <v>89.045999999999992</v>
      </c>
      <c r="I807" s="42">
        <f t="shared" si="718"/>
        <v>89.045999999999992</v>
      </c>
      <c r="J807" s="486"/>
      <c r="K807" s="486"/>
      <c r="L807" s="486"/>
      <c r="M807" s="513"/>
      <c r="N807" s="486"/>
      <c r="O807" s="486"/>
      <c r="P807" s="486"/>
      <c r="Q807" s="486"/>
    </row>
    <row r="808" spans="1:18" ht="15" customHeight="1" x14ac:dyDescent="0.25">
      <c r="A808" s="219">
        <v>510.76</v>
      </c>
      <c r="B808" s="220" t="s">
        <v>650</v>
      </c>
      <c r="C808" s="518"/>
      <c r="D808" s="336">
        <v>131.97999999999999</v>
      </c>
      <c r="E808" s="518"/>
      <c r="F808" s="519">
        <v>1</v>
      </c>
      <c r="G808" s="520"/>
      <c r="H808" s="518"/>
      <c r="I808" s="518"/>
      <c r="J808" s="518"/>
      <c r="K808" s="518"/>
      <c r="L808" s="518"/>
      <c r="M808" s="518"/>
      <c r="N808" s="518"/>
      <c r="O808" s="518"/>
      <c r="P808" s="518"/>
      <c r="Q808" s="518"/>
      <c r="R808" s="531"/>
    </row>
    <row r="809" spans="1:18" ht="19.95" customHeight="1" x14ac:dyDescent="0.25">
      <c r="A809" s="151"/>
      <c r="B809" s="126" t="s">
        <v>22</v>
      </c>
      <c r="C809" s="127">
        <f>SUM(C774:C808)</f>
        <v>1071.8819999999998</v>
      </c>
      <c r="D809" s="127"/>
      <c r="E809" s="127"/>
      <c r="F809" s="127"/>
      <c r="G809" s="127"/>
      <c r="H809" s="127">
        <f t="shared" ref="H809:Q809" si="723">SUM(H774:H808)</f>
        <v>453.41579999999999</v>
      </c>
      <c r="I809" s="127">
        <f t="shared" si="723"/>
        <v>445.48230000000001</v>
      </c>
      <c r="J809" s="127">
        <f t="shared" si="723"/>
        <v>7.9334999999999996</v>
      </c>
      <c r="K809" s="127">
        <f t="shared" si="723"/>
        <v>0</v>
      </c>
      <c r="L809" s="127">
        <f t="shared" si="723"/>
        <v>744.80159999999978</v>
      </c>
      <c r="M809" s="127">
        <f t="shared" si="723"/>
        <v>183.79140000000001</v>
      </c>
      <c r="N809" s="127">
        <f t="shared" si="723"/>
        <v>0</v>
      </c>
      <c r="O809" s="127">
        <f t="shared" si="723"/>
        <v>0</v>
      </c>
      <c r="P809" s="127">
        <f t="shared" si="723"/>
        <v>26.198999999999998</v>
      </c>
      <c r="Q809" s="127">
        <f t="shared" si="723"/>
        <v>28.043999999999997</v>
      </c>
      <c r="R809" s="1"/>
    </row>
    <row r="810" spans="1:18" ht="19.95" customHeight="1" x14ac:dyDescent="0.25">
      <c r="A810" s="151"/>
      <c r="B810" s="602"/>
      <c r="C810" s="272"/>
      <c r="D810" s="272"/>
      <c r="E810" s="272"/>
      <c r="F810" s="270"/>
      <c r="G810" s="255"/>
      <c r="H810" s="270"/>
      <c r="I810" s="270"/>
      <c r="J810" s="270"/>
      <c r="K810" s="270"/>
      <c r="L810" s="258">
        <v>1</v>
      </c>
      <c r="M810" s="258">
        <v>4</v>
      </c>
      <c r="N810" s="258">
        <v>5</v>
      </c>
      <c r="O810" s="258">
        <v>6</v>
      </c>
      <c r="P810" s="258">
        <v>3</v>
      </c>
      <c r="Q810" s="259">
        <v>2</v>
      </c>
    </row>
    <row r="811" spans="1:18" ht="40.049999999999997" customHeight="1" x14ac:dyDescent="0.25">
      <c r="A811" s="151"/>
      <c r="B811" s="840" t="s">
        <v>16</v>
      </c>
      <c r="C811" s="841" t="s">
        <v>17</v>
      </c>
      <c r="D811" s="841" t="s">
        <v>18</v>
      </c>
      <c r="E811" s="841" t="s">
        <v>28</v>
      </c>
      <c r="F811" s="838" t="s">
        <v>19</v>
      </c>
      <c r="G811" s="838" t="s">
        <v>13</v>
      </c>
      <c r="H811" s="838" t="s">
        <v>24</v>
      </c>
      <c r="I811" s="838" t="s">
        <v>45</v>
      </c>
      <c r="J811" s="838" t="s">
        <v>26</v>
      </c>
      <c r="K811" s="844" t="s">
        <v>864</v>
      </c>
      <c r="L811" s="838" t="s">
        <v>69</v>
      </c>
      <c r="M811" s="838" t="s">
        <v>73</v>
      </c>
      <c r="N811" s="838" t="s">
        <v>76</v>
      </c>
      <c r="O811" s="838" t="s">
        <v>77</v>
      </c>
      <c r="P811" s="838" t="s">
        <v>72</v>
      </c>
      <c r="Q811" s="838" t="s">
        <v>70</v>
      </c>
    </row>
    <row r="812" spans="1:18" ht="40.049999999999997" customHeight="1" x14ac:dyDescent="0.25">
      <c r="A812" s="151"/>
      <c r="B812" s="840"/>
      <c r="C812" s="841"/>
      <c r="D812" s="841"/>
      <c r="E812" s="841"/>
      <c r="F812" s="839"/>
      <c r="G812" s="839"/>
      <c r="H812" s="839"/>
      <c r="I812" s="839"/>
      <c r="J812" s="839"/>
      <c r="K812" s="845"/>
      <c r="L812" s="839"/>
      <c r="M812" s="839"/>
      <c r="N812" s="839"/>
      <c r="O812" s="839"/>
      <c r="P812" s="839"/>
      <c r="Q812" s="839"/>
    </row>
    <row r="813" spans="1:18" ht="19.95" customHeight="1" x14ac:dyDescent="0.25">
      <c r="A813" s="141" t="s">
        <v>727</v>
      </c>
      <c r="B813" s="59" t="s">
        <v>625</v>
      </c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1"/>
    </row>
    <row r="814" spans="1:18" ht="15" customHeight="1" x14ac:dyDescent="0.25">
      <c r="A814" s="560">
        <v>25.74</v>
      </c>
      <c r="B814" s="220" t="s">
        <v>258</v>
      </c>
      <c r="C814" s="34">
        <f t="shared" ref="C814:C822" si="724">D814*E814*F814-G814</f>
        <v>52.786000000000016</v>
      </c>
      <c r="D814" s="576">
        <v>24.28</v>
      </c>
      <c r="E814" s="578">
        <v>2.7</v>
      </c>
      <c r="F814" s="517">
        <v>1</v>
      </c>
      <c r="G814" s="561">
        <v>12.77</v>
      </c>
      <c r="H814" s="65">
        <f t="shared" ref="H814" si="725">C814</f>
        <v>52.786000000000016</v>
      </c>
      <c r="I814" s="42">
        <f t="shared" ref="I814" si="726">H814-J814</f>
        <v>52.786000000000016</v>
      </c>
      <c r="J814" s="486"/>
      <c r="K814" s="486"/>
      <c r="L814" s="513">
        <f>I814</f>
        <v>52.786000000000016</v>
      </c>
      <c r="M814" s="575"/>
      <c r="N814" s="575"/>
      <c r="O814" s="575"/>
      <c r="P814" s="575"/>
      <c r="Q814" s="575"/>
    </row>
    <row r="815" spans="1:18" ht="15" customHeight="1" x14ac:dyDescent="0.25">
      <c r="A815" s="560">
        <v>14.87</v>
      </c>
      <c r="B815" s="220" t="s">
        <v>617</v>
      </c>
      <c r="C815" s="34">
        <f t="shared" si="724"/>
        <v>33.699000000000005</v>
      </c>
      <c r="D815" s="576">
        <f>17.64-2.27</f>
        <v>15.370000000000001</v>
      </c>
      <c r="E815" s="578">
        <v>2.7</v>
      </c>
      <c r="F815" s="517">
        <v>1</v>
      </c>
      <c r="G815" s="561">
        <v>7.8</v>
      </c>
      <c r="H815" s="65">
        <f t="shared" ref="H815" si="727">C815</f>
        <v>33.699000000000005</v>
      </c>
      <c r="I815" s="42">
        <f t="shared" ref="I815" si="728">H815-J815</f>
        <v>33.699000000000005</v>
      </c>
      <c r="J815" s="575"/>
      <c r="K815" s="575"/>
      <c r="L815" s="578">
        <f>C815</f>
        <v>33.699000000000005</v>
      </c>
      <c r="M815" s="575"/>
      <c r="N815" s="575"/>
      <c r="O815" s="575"/>
      <c r="P815" s="575"/>
      <c r="Q815" s="575"/>
    </row>
    <row r="816" spans="1:18" ht="15" customHeight="1" x14ac:dyDescent="0.25">
      <c r="A816" s="559"/>
      <c r="B816" s="157"/>
      <c r="C816" s="34">
        <f t="shared" si="724"/>
        <v>3.6890000000000005</v>
      </c>
      <c r="D816" s="576">
        <v>2.27</v>
      </c>
      <c r="E816" s="578">
        <v>2.7</v>
      </c>
      <c r="F816" s="517">
        <v>1</v>
      </c>
      <c r="G816" s="561">
        <v>2.44</v>
      </c>
      <c r="H816" s="599"/>
      <c r="I816" s="575"/>
      <c r="J816" s="575"/>
      <c r="K816" s="575"/>
      <c r="L816" s="578">
        <f>C816</f>
        <v>3.6890000000000005</v>
      </c>
      <c r="M816" s="575"/>
      <c r="N816" s="575"/>
      <c r="O816" s="575"/>
      <c r="P816" s="575"/>
      <c r="Q816" s="575"/>
    </row>
    <row r="817" spans="1:18" ht="15" customHeight="1" x14ac:dyDescent="0.25">
      <c r="A817" s="559">
        <v>43.48</v>
      </c>
      <c r="B817" s="157" t="s">
        <v>346</v>
      </c>
      <c r="C817" s="34">
        <f t="shared" si="724"/>
        <v>98.288000000000011</v>
      </c>
      <c r="D817" s="578">
        <v>27.85</v>
      </c>
      <c r="E817" s="578">
        <v>3.68</v>
      </c>
      <c r="F817" s="517">
        <v>1</v>
      </c>
      <c r="G817" s="561">
        <v>4.2</v>
      </c>
      <c r="H817" s="65">
        <f t="shared" ref="H817" si="729">C817</f>
        <v>98.288000000000011</v>
      </c>
      <c r="I817" s="42">
        <f t="shared" ref="I817" si="730">H817-J817</f>
        <v>98.288000000000011</v>
      </c>
      <c r="J817" s="575"/>
      <c r="K817" s="575"/>
      <c r="L817" s="576"/>
      <c r="M817" s="578">
        <f>I817</f>
        <v>98.288000000000011</v>
      </c>
      <c r="N817" s="575"/>
      <c r="O817" s="575"/>
      <c r="P817" s="575"/>
      <c r="Q817" s="575"/>
    </row>
    <row r="818" spans="1:18" ht="15" customHeight="1" x14ac:dyDescent="0.25">
      <c r="A818" s="559">
        <v>7.45</v>
      </c>
      <c r="B818" s="157" t="s">
        <v>724</v>
      </c>
      <c r="C818" s="34">
        <f t="shared" si="724"/>
        <v>40.2224</v>
      </c>
      <c r="D818" s="576">
        <v>10.93</v>
      </c>
      <c r="E818" s="578">
        <v>3.68</v>
      </c>
      <c r="F818" s="517">
        <v>1</v>
      </c>
      <c r="G818" s="561"/>
      <c r="H818" s="575"/>
      <c r="I818" s="575"/>
      <c r="J818" s="575"/>
      <c r="K818" s="575"/>
      <c r="L818" s="576"/>
      <c r="M818" s="575"/>
      <c r="N818" s="575"/>
      <c r="O818" s="575"/>
      <c r="P818" s="575"/>
      <c r="Q818" s="575"/>
    </row>
    <row r="819" spans="1:18" ht="15" customHeight="1" x14ac:dyDescent="0.25">
      <c r="A819" s="559">
        <v>8.23</v>
      </c>
      <c r="B819" s="157" t="s">
        <v>725</v>
      </c>
      <c r="C819" s="34">
        <f t="shared" si="724"/>
        <v>42.540800000000004</v>
      </c>
      <c r="D819" s="576">
        <v>11.56</v>
      </c>
      <c r="E819" s="578">
        <v>3.68</v>
      </c>
      <c r="F819" s="517">
        <v>1</v>
      </c>
      <c r="G819" s="561"/>
      <c r="H819" s="599"/>
      <c r="I819" s="575"/>
      <c r="J819" s="575"/>
      <c r="K819" s="575"/>
      <c r="L819" s="576"/>
      <c r="M819" s="575"/>
      <c r="N819" s="575"/>
      <c r="O819" s="575"/>
      <c r="P819" s="575"/>
      <c r="Q819" s="575"/>
    </row>
    <row r="820" spans="1:18" ht="15" customHeight="1" x14ac:dyDescent="0.25">
      <c r="A820" s="563">
        <v>3.9</v>
      </c>
      <c r="B820" s="157" t="s">
        <v>726</v>
      </c>
      <c r="C820" s="34">
        <f t="shared" si="724"/>
        <v>30.654400000000003</v>
      </c>
      <c r="D820" s="576">
        <v>8.33</v>
      </c>
      <c r="E820" s="578">
        <v>3.68</v>
      </c>
      <c r="F820" s="517">
        <v>1</v>
      </c>
      <c r="G820" s="561"/>
      <c r="H820" s="65">
        <f t="shared" ref="H820:H822" si="731">C820</f>
        <v>30.654400000000003</v>
      </c>
      <c r="I820" s="42">
        <f t="shared" ref="I820:I822" si="732">H820-J820</f>
        <v>30.654400000000003</v>
      </c>
      <c r="J820" s="575"/>
      <c r="K820" s="575"/>
      <c r="L820" s="576"/>
      <c r="M820" s="575"/>
      <c r="N820" s="575"/>
      <c r="O820" s="575"/>
      <c r="P820" s="575"/>
      <c r="Q820" s="575"/>
    </row>
    <row r="821" spans="1:18" ht="15" customHeight="1" x14ac:dyDescent="0.25">
      <c r="A821" s="563">
        <v>3.28</v>
      </c>
      <c r="B821" s="157" t="s">
        <v>229</v>
      </c>
      <c r="C821" s="34">
        <f t="shared" si="724"/>
        <v>57.04</v>
      </c>
      <c r="D821" s="578">
        <v>15.5</v>
      </c>
      <c r="E821" s="578">
        <v>3.68</v>
      </c>
      <c r="F821" s="33">
        <v>1</v>
      </c>
      <c r="G821" s="575"/>
      <c r="H821" s="65">
        <f t="shared" si="731"/>
        <v>57.04</v>
      </c>
      <c r="I821" s="42">
        <f t="shared" si="732"/>
        <v>57.04</v>
      </c>
      <c r="J821" s="575"/>
      <c r="K821" s="575"/>
      <c r="L821" s="576"/>
      <c r="M821" s="575"/>
      <c r="N821" s="575"/>
      <c r="O821" s="575"/>
      <c r="P821" s="575"/>
      <c r="Q821" s="575"/>
    </row>
    <row r="822" spans="1:18" ht="15" customHeight="1" x14ac:dyDescent="0.25">
      <c r="A822" s="563">
        <v>0.56000000000000005</v>
      </c>
      <c r="B822" s="157" t="s">
        <v>229</v>
      </c>
      <c r="C822" s="34">
        <f t="shared" si="724"/>
        <v>18.731200000000001</v>
      </c>
      <c r="D822" s="576">
        <v>5.09</v>
      </c>
      <c r="E822" s="578">
        <v>3.68</v>
      </c>
      <c r="F822" s="33">
        <v>1</v>
      </c>
      <c r="G822" s="575"/>
      <c r="H822" s="65">
        <f t="shared" si="731"/>
        <v>18.731200000000001</v>
      </c>
      <c r="I822" s="42">
        <f t="shared" si="732"/>
        <v>18.731200000000001</v>
      </c>
      <c r="J822" s="575"/>
      <c r="K822" s="575"/>
      <c r="L822" s="576"/>
      <c r="M822" s="575"/>
      <c r="N822" s="575"/>
      <c r="O822" s="575"/>
      <c r="P822" s="575"/>
      <c r="Q822" s="575"/>
    </row>
    <row r="823" spans="1:18" ht="19.95" customHeight="1" x14ac:dyDescent="0.25">
      <c r="A823" s="151"/>
      <c r="B823" s="126" t="s">
        <v>22</v>
      </c>
      <c r="C823" s="127">
        <f>SUM(C814:C822)</f>
        <v>377.65080000000006</v>
      </c>
      <c r="D823" s="127"/>
      <c r="E823" s="127"/>
      <c r="F823" s="127"/>
      <c r="G823" s="127"/>
      <c r="H823" s="127">
        <f t="shared" ref="H823:Q823" si="733">SUM(H814:H822)</f>
        <v>291.19860000000006</v>
      </c>
      <c r="I823" s="127">
        <f t="shared" si="733"/>
        <v>291.19860000000006</v>
      </c>
      <c r="J823" s="127">
        <f t="shared" si="733"/>
        <v>0</v>
      </c>
      <c r="K823" s="127">
        <f t="shared" si="733"/>
        <v>0</v>
      </c>
      <c r="L823" s="127">
        <f t="shared" si="733"/>
        <v>90.174000000000021</v>
      </c>
      <c r="M823" s="127">
        <f t="shared" si="733"/>
        <v>98.288000000000011</v>
      </c>
      <c r="N823" s="127">
        <f t="shared" si="733"/>
        <v>0</v>
      </c>
      <c r="O823" s="127">
        <f t="shared" si="733"/>
        <v>0</v>
      </c>
      <c r="P823" s="127">
        <f t="shared" si="733"/>
        <v>0</v>
      </c>
      <c r="Q823" s="127">
        <f t="shared" si="733"/>
        <v>0</v>
      </c>
      <c r="R823" s="1"/>
    </row>
    <row r="824" spans="1:18" ht="19.95" customHeight="1" x14ac:dyDescent="0.25">
      <c r="A824" s="151"/>
      <c r="B824" s="601"/>
      <c r="C824" s="270"/>
      <c r="D824" s="270"/>
      <c r="E824" s="270"/>
      <c r="F824" s="270"/>
      <c r="G824" s="270"/>
      <c r="H824" s="270"/>
      <c r="I824" s="270"/>
      <c r="J824" s="270"/>
      <c r="K824" s="270"/>
      <c r="L824" s="270"/>
      <c r="M824" s="270"/>
      <c r="N824" s="270"/>
      <c r="O824" s="270"/>
      <c r="P824" s="270"/>
      <c r="Q824" s="270"/>
    </row>
    <row r="825" spans="1:18" ht="15" customHeight="1" x14ac:dyDescent="0.25"/>
    <row r="826" spans="1:18" ht="19.95" customHeight="1" x14ac:dyDescent="0.25">
      <c r="B826" s="137" t="s">
        <v>90</v>
      </c>
      <c r="C826" s="158">
        <f>SUM(C126,C249,C344,C448,C565,C672,C761,C809)</f>
        <v>19261.469399999998</v>
      </c>
      <c r="D826" s="158"/>
      <c r="E826" s="158"/>
      <c r="F826" s="158"/>
      <c r="G826" s="158"/>
      <c r="H826" s="158">
        <f t="shared" ref="H826:Q826" si="734">SUM(H126,H249,H344,H448,H565,H672,H761,H809)</f>
        <v>5164.5575000000008</v>
      </c>
      <c r="I826" s="158">
        <f t="shared" si="734"/>
        <v>4455.1534000000001</v>
      </c>
      <c r="J826" s="158">
        <f t="shared" si="734"/>
        <v>515.62610000000006</v>
      </c>
      <c r="K826" s="767">
        <f t="shared" si="734"/>
        <v>791.32950000000005</v>
      </c>
      <c r="L826" s="765">
        <f t="shared" si="734"/>
        <v>13224.636200000001</v>
      </c>
      <c r="M826" s="765">
        <f t="shared" si="734"/>
        <v>1282.8136000000002</v>
      </c>
      <c r="N826" s="158">
        <f t="shared" si="734"/>
        <v>0</v>
      </c>
      <c r="O826" s="158">
        <f t="shared" si="734"/>
        <v>0</v>
      </c>
      <c r="P826" s="158">
        <f t="shared" si="734"/>
        <v>2507.7507000000001</v>
      </c>
      <c r="Q826" s="158">
        <f t="shared" si="734"/>
        <v>736.44640000000004</v>
      </c>
      <c r="R826" s="1"/>
    </row>
    <row r="827" spans="1:18" ht="15" customHeight="1" x14ac:dyDescent="0.25"/>
    <row r="828" spans="1:18" ht="15" customHeight="1" x14ac:dyDescent="0.25"/>
    <row r="829" spans="1:18" ht="15" customHeight="1" x14ac:dyDescent="0.25">
      <c r="B829" s="221" t="s">
        <v>191</v>
      </c>
    </row>
    <row r="830" spans="1:18" ht="15" customHeight="1" x14ac:dyDescent="0.25">
      <c r="B830" s="487" t="s">
        <v>330</v>
      </c>
    </row>
    <row r="831" spans="1:18" ht="14.4" x14ac:dyDescent="0.25">
      <c r="B831" s="530" t="s">
        <v>681</v>
      </c>
    </row>
    <row r="832" spans="1:18" ht="14.4" x14ac:dyDescent="0.25">
      <c r="B832" s="766" t="s">
        <v>806</v>
      </c>
    </row>
    <row r="833" spans="2:2" ht="14.4" x14ac:dyDescent="0.25">
      <c r="B833" s="768" t="s">
        <v>790</v>
      </c>
    </row>
  </sheetData>
  <mergeCells count="144">
    <mergeCell ref="K10:K11"/>
    <mergeCell ref="K128:K129"/>
    <mergeCell ref="K251:K252"/>
    <mergeCell ref="K346:K347"/>
    <mergeCell ref="K450:K451"/>
    <mergeCell ref="K567:K568"/>
    <mergeCell ref="K674:K675"/>
    <mergeCell ref="K763:K764"/>
    <mergeCell ref="K811:K812"/>
    <mergeCell ref="L763:L764"/>
    <mergeCell ref="M763:M764"/>
    <mergeCell ref="N763:N764"/>
    <mergeCell ref="O763:O764"/>
    <mergeCell ref="P763:P764"/>
    <mergeCell ref="Q763:Q764"/>
    <mergeCell ref="B763:B764"/>
    <mergeCell ref="C763:C764"/>
    <mergeCell ref="D763:D764"/>
    <mergeCell ref="E763:E764"/>
    <mergeCell ref="F763:F764"/>
    <mergeCell ref="G763:G764"/>
    <mergeCell ref="H763:H764"/>
    <mergeCell ref="I763:I764"/>
    <mergeCell ref="J763:J764"/>
    <mergeCell ref="M674:M675"/>
    <mergeCell ref="N674:N675"/>
    <mergeCell ref="O674:O675"/>
    <mergeCell ref="P674:P675"/>
    <mergeCell ref="Q674:Q675"/>
    <mergeCell ref="G674:G675"/>
    <mergeCell ref="H674:H675"/>
    <mergeCell ref="I674:I675"/>
    <mergeCell ref="J674:J675"/>
    <mergeCell ref="L674:L675"/>
    <mergeCell ref="Q450:Q451"/>
    <mergeCell ref="B567:B568"/>
    <mergeCell ref="C567:C568"/>
    <mergeCell ref="D567:D568"/>
    <mergeCell ref="E567:E568"/>
    <mergeCell ref="F567:F568"/>
    <mergeCell ref="G567:G568"/>
    <mergeCell ref="H567:H568"/>
    <mergeCell ref="I567:I568"/>
    <mergeCell ref="J567:J568"/>
    <mergeCell ref="L567:L568"/>
    <mergeCell ref="M567:M568"/>
    <mergeCell ref="N567:N568"/>
    <mergeCell ref="O567:O568"/>
    <mergeCell ref="P567:P568"/>
    <mergeCell ref="Q567:Q568"/>
    <mergeCell ref="B674:B675"/>
    <mergeCell ref="C674:C675"/>
    <mergeCell ref="D674:D675"/>
    <mergeCell ref="E674:E675"/>
    <mergeCell ref="F674:F675"/>
    <mergeCell ref="B346:B347"/>
    <mergeCell ref="C346:C347"/>
    <mergeCell ref="D346:D347"/>
    <mergeCell ref="E346:E347"/>
    <mergeCell ref="F346:F347"/>
    <mergeCell ref="Q346:Q347"/>
    <mergeCell ref="B450:B451"/>
    <mergeCell ref="C450:C451"/>
    <mergeCell ref="D450:D451"/>
    <mergeCell ref="E450:E451"/>
    <mergeCell ref="F450:F451"/>
    <mergeCell ref="G450:G451"/>
    <mergeCell ref="H450:H451"/>
    <mergeCell ref="I450:I451"/>
    <mergeCell ref="J450:J451"/>
    <mergeCell ref="L450:L451"/>
    <mergeCell ref="M450:M451"/>
    <mergeCell ref="N450:N451"/>
    <mergeCell ref="O450:O451"/>
    <mergeCell ref="P450:P451"/>
    <mergeCell ref="M346:M347"/>
    <mergeCell ref="N346:N347"/>
    <mergeCell ref="O346:O347"/>
    <mergeCell ref="P346:P347"/>
    <mergeCell ref="G346:G347"/>
    <mergeCell ref="H346:H347"/>
    <mergeCell ref="I346:I347"/>
    <mergeCell ref="J346:J347"/>
    <mergeCell ref="L346:L347"/>
    <mergeCell ref="H128:H129"/>
    <mergeCell ref="I128:I129"/>
    <mergeCell ref="J128:J129"/>
    <mergeCell ref="L128:L129"/>
    <mergeCell ref="B128:B129"/>
    <mergeCell ref="C128:C129"/>
    <mergeCell ref="D128:D129"/>
    <mergeCell ref="E128:E129"/>
    <mergeCell ref="F128:F129"/>
    <mergeCell ref="O251:O252"/>
    <mergeCell ref="P251:P252"/>
    <mergeCell ref="B251:B252"/>
    <mergeCell ref="C251:C252"/>
    <mergeCell ref="D251:D252"/>
    <mergeCell ref="E251:E252"/>
    <mergeCell ref="F251:F252"/>
    <mergeCell ref="G251:G252"/>
    <mergeCell ref="H251:H252"/>
    <mergeCell ref="I251:I252"/>
    <mergeCell ref="J251:J252"/>
    <mergeCell ref="L251:L252"/>
    <mergeCell ref="Q251:Q252"/>
    <mergeCell ref="G128:G129"/>
    <mergeCell ref="O128:O129"/>
    <mergeCell ref="P128:P129"/>
    <mergeCell ref="Q10:Q11"/>
    <mergeCell ref="B10:B11"/>
    <mergeCell ref="C10:C11"/>
    <mergeCell ref="I10:I11"/>
    <mergeCell ref="J10:J11"/>
    <mergeCell ref="L10:L11"/>
    <mergeCell ref="E10:E11"/>
    <mergeCell ref="D10:D11"/>
    <mergeCell ref="F10:F11"/>
    <mergeCell ref="G10:G11"/>
    <mergeCell ref="H10:H11"/>
    <mergeCell ref="P10:P11"/>
    <mergeCell ref="M10:M11"/>
    <mergeCell ref="N10:N11"/>
    <mergeCell ref="O10:O11"/>
    <mergeCell ref="Q128:Q129"/>
    <mergeCell ref="M128:M129"/>
    <mergeCell ref="N128:N129"/>
    <mergeCell ref="M251:M252"/>
    <mergeCell ref="N251:N252"/>
    <mergeCell ref="L811:L812"/>
    <mergeCell ref="M811:M812"/>
    <mergeCell ref="N811:N812"/>
    <mergeCell ref="O811:O812"/>
    <mergeCell ref="P811:P812"/>
    <mergeCell ref="Q811:Q812"/>
    <mergeCell ref="B811:B812"/>
    <mergeCell ref="C811:C812"/>
    <mergeCell ref="D811:D812"/>
    <mergeCell ref="E811:E812"/>
    <mergeCell ref="F811:F812"/>
    <mergeCell ref="G811:G812"/>
    <mergeCell ref="H811:H812"/>
    <mergeCell ref="I811:I812"/>
    <mergeCell ref="J811:J812"/>
  </mergeCells>
  <phoneticPr fontId="1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537"/>
  <sheetViews>
    <sheetView topLeftCell="G516" zoomScaleNormal="100" workbookViewId="0">
      <selection activeCell="I516" sqref="I516:I517"/>
    </sheetView>
  </sheetViews>
  <sheetFormatPr defaultRowHeight="13.2" x14ac:dyDescent="0.25"/>
  <cols>
    <col min="1" max="1" width="13.77734375" customWidth="1"/>
    <col min="2" max="2" width="39.77734375" customWidth="1"/>
    <col min="4" max="4" width="10.109375" customWidth="1"/>
    <col min="5" max="6" width="7.77734375" customWidth="1"/>
    <col min="9" max="15" width="12.77734375" customWidth="1"/>
    <col min="16" max="17" width="14.77734375" customWidth="1"/>
    <col min="18" max="18" width="13.88671875" customWidth="1"/>
    <col min="19" max="19" width="13.77734375" customWidth="1"/>
    <col min="20" max="20" width="12.77734375" customWidth="1"/>
    <col min="21" max="21" width="13.109375" customWidth="1"/>
    <col min="22" max="22" width="12.77734375" customWidth="1"/>
    <col min="23" max="23" width="9.44140625" customWidth="1"/>
    <col min="24" max="24" width="11" customWidth="1"/>
    <col min="25" max="25" width="11.6640625" customWidth="1"/>
    <col min="26" max="26" width="10.88671875" customWidth="1"/>
    <col min="27" max="27" width="17.6640625" customWidth="1"/>
  </cols>
  <sheetData>
    <row r="2" spans="1:23" ht="14.4" x14ac:dyDescent="0.25">
      <c r="A2" s="66"/>
      <c r="B2" s="152" t="s">
        <v>55</v>
      </c>
      <c r="C2" s="69"/>
    </row>
    <row r="3" spans="1:23" ht="14.4" x14ac:dyDescent="0.25">
      <c r="A3" s="66"/>
      <c r="B3" s="152" t="s">
        <v>56</v>
      </c>
      <c r="C3" s="69"/>
    </row>
    <row r="4" spans="1:23" ht="14.4" x14ac:dyDescent="0.25">
      <c r="B4" s="154" t="s">
        <v>54</v>
      </c>
      <c r="C4" s="71"/>
      <c r="D4" s="69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23" ht="15" customHeight="1" x14ac:dyDescent="0.25">
      <c r="B5" s="70"/>
      <c r="C5" s="71"/>
      <c r="D5" s="69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23" ht="15" customHeight="1" x14ac:dyDescent="0.25">
      <c r="B6" s="161" t="s">
        <v>380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</row>
    <row r="7" spans="1:23" ht="15" customHeight="1" x14ac:dyDescent="0.25">
      <c r="C7" s="501"/>
      <c r="I7" s="141">
        <v>7</v>
      </c>
      <c r="J7" s="141">
        <v>8</v>
      </c>
      <c r="K7" s="141">
        <v>9</v>
      </c>
      <c r="L7" s="141">
        <v>12</v>
      </c>
      <c r="M7" s="141">
        <v>13</v>
      </c>
      <c r="N7" s="141">
        <v>14</v>
      </c>
      <c r="O7" s="224">
        <v>5</v>
      </c>
      <c r="P7" s="224">
        <v>4</v>
      </c>
      <c r="Q7" s="224">
        <v>2</v>
      </c>
      <c r="R7" s="224">
        <v>3</v>
      </c>
      <c r="S7" s="224">
        <v>1</v>
      </c>
      <c r="T7" s="224">
        <v>5</v>
      </c>
      <c r="U7" s="224">
        <v>1</v>
      </c>
      <c r="V7" s="224">
        <v>3</v>
      </c>
    </row>
    <row r="8" spans="1:23" ht="15.6" x14ac:dyDescent="0.25">
      <c r="B8" s="36" t="s">
        <v>30</v>
      </c>
      <c r="C8" s="37"/>
      <c r="D8" s="38"/>
      <c r="E8" s="38"/>
      <c r="F8" s="38"/>
      <c r="G8" s="37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133"/>
    </row>
    <row r="9" spans="1:23" ht="14.4" x14ac:dyDescent="0.25">
      <c r="B9" s="24" t="s">
        <v>34</v>
      </c>
      <c r="C9" s="25"/>
      <c r="D9" s="26"/>
      <c r="E9" s="26"/>
      <c r="F9" s="26"/>
      <c r="G9" s="25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133"/>
    </row>
    <row r="10" spans="1:23" ht="49.95" customHeight="1" x14ac:dyDescent="0.25">
      <c r="B10" s="843" t="s">
        <v>16</v>
      </c>
      <c r="C10" s="838" t="s">
        <v>17</v>
      </c>
      <c r="D10" s="839" t="s">
        <v>18</v>
      </c>
      <c r="E10" s="842" t="s">
        <v>19</v>
      </c>
      <c r="F10" s="842" t="s">
        <v>13</v>
      </c>
      <c r="G10" s="842" t="s">
        <v>20</v>
      </c>
      <c r="H10" s="842" t="s">
        <v>21</v>
      </c>
      <c r="I10" s="855" t="s">
        <v>866</v>
      </c>
      <c r="J10" s="846" t="s">
        <v>867</v>
      </c>
      <c r="K10" s="855" t="s">
        <v>865</v>
      </c>
      <c r="L10" s="846" t="s">
        <v>868</v>
      </c>
      <c r="M10" s="846" t="s">
        <v>869</v>
      </c>
      <c r="N10" s="846" t="s">
        <v>870</v>
      </c>
      <c r="O10" s="838" t="s">
        <v>81</v>
      </c>
      <c r="P10" s="838" t="s">
        <v>80</v>
      </c>
      <c r="Q10" s="838" t="s">
        <v>70</v>
      </c>
      <c r="R10" s="838" t="s">
        <v>79</v>
      </c>
      <c r="S10" s="838" t="s">
        <v>78</v>
      </c>
      <c r="T10" s="848" t="s">
        <v>75</v>
      </c>
      <c r="U10" s="848" t="s">
        <v>71</v>
      </c>
      <c r="V10" s="848" t="s">
        <v>74</v>
      </c>
      <c r="W10" s="861"/>
    </row>
    <row r="11" spans="1:23" ht="49.95" customHeight="1" x14ac:dyDescent="0.25">
      <c r="B11" s="852"/>
      <c r="C11" s="842"/>
      <c r="D11" s="838"/>
      <c r="E11" s="842"/>
      <c r="F11" s="842"/>
      <c r="G11" s="842"/>
      <c r="H11" s="842"/>
      <c r="I11" s="856"/>
      <c r="J11" s="847"/>
      <c r="K11" s="856"/>
      <c r="L11" s="847"/>
      <c r="M11" s="847"/>
      <c r="N11" s="847"/>
      <c r="O11" s="839"/>
      <c r="P11" s="839"/>
      <c r="Q11" s="839"/>
      <c r="R11" s="839"/>
      <c r="S11" s="839"/>
      <c r="T11" s="849"/>
      <c r="U11" s="849"/>
      <c r="V11" s="849"/>
      <c r="W11" s="861"/>
    </row>
    <row r="12" spans="1:23" ht="15.6" x14ac:dyDescent="0.25">
      <c r="A12" s="141" t="s">
        <v>57</v>
      </c>
      <c r="B12" s="59" t="s">
        <v>50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75"/>
    </row>
    <row r="13" spans="1:23" ht="14.4" x14ac:dyDescent="0.25">
      <c r="B13" s="220" t="s">
        <v>705</v>
      </c>
      <c r="C13" s="603">
        <v>28.63</v>
      </c>
      <c r="D13" s="131">
        <f>22.61-(11.3)</f>
        <v>11.309999999999999</v>
      </c>
      <c r="E13" s="567">
        <v>1</v>
      </c>
      <c r="F13" s="561"/>
      <c r="G13" s="30">
        <f t="shared" ref="G13:G14" si="0">C13*E13</f>
        <v>28.63</v>
      </c>
      <c r="H13" s="30">
        <f t="shared" ref="H13:H14" si="1">G13</f>
        <v>28.63</v>
      </c>
      <c r="I13" s="30"/>
      <c r="J13" s="30"/>
      <c r="K13" s="30"/>
      <c r="L13" s="30"/>
      <c r="M13" s="30"/>
      <c r="N13" s="30"/>
      <c r="O13" s="561"/>
      <c r="P13" s="561"/>
      <c r="Q13" s="561"/>
      <c r="R13" s="561"/>
      <c r="S13" s="131">
        <f t="shared" ref="S13:S14" si="2">H13</f>
        <v>28.63</v>
      </c>
      <c r="T13" s="561"/>
      <c r="U13" s="131">
        <f t="shared" ref="U13:U14" si="3">D13*E13</f>
        <v>11.309999999999999</v>
      </c>
      <c r="V13" s="561"/>
      <c r="W13" s="75"/>
    </row>
    <row r="14" spans="1:23" ht="14.4" x14ac:dyDescent="0.25">
      <c r="B14" s="220" t="s">
        <v>706</v>
      </c>
      <c r="C14" s="603">
        <v>346.68</v>
      </c>
      <c r="D14" s="131">
        <f>76.54-(9.1)</f>
        <v>67.440000000000012</v>
      </c>
      <c r="E14" s="567">
        <v>1</v>
      </c>
      <c r="F14" s="561"/>
      <c r="G14" s="30">
        <f t="shared" si="0"/>
        <v>346.68</v>
      </c>
      <c r="H14" s="30">
        <f t="shared" si="1"/>
        <v>346.68</v>
      </c>
      <c r="I14" s="30"/>
      <c r="J14" s="30"/>
      <c r="K14" s="30"/>
      <c r="L14" s="30"/>
      <c r="M14" s="30"/>
      <c r="N14" s="30"/>
      <c r="O14" s="561"/>
      <c r="P14" s="561"/>
      <c r="Q14" s="561"/>
      <c r="R14" s="561"/>
      <c r="S14" s="131">
        <f t="shared" si="2"/>
        <v>346.68</v>
      </c>
      <c r="T14" s="561"/>
      <c r="U14" s="131">
        <f t="shared" si="3"/>
        <v>67.440000000000012</v>
      </c>
      <c r="V14" s="561"/>
      <c r="W14" s="75"/>
    </row>
    <row r="15" spans="1:23" ht="15" customHeight="1" x14ac:dyDescent="0.25">
      <c r="A15" s="150"/>
      <c r="B15" s="15" t="s">
        <v>168</v>
      </c>
      <c r="C15" s="73">
        <v>13.6</v>
      </c>
      <c r="D15" s="131">
        <v>17.39</v>
      </c>
      <c r="E15" s="33">
        <v>1</v>
      </c>
      <c r="F15" s="29"/>
      <c r="G15" s="30">
        <f>C15*E15</f>
        <v>13.6</v>
      </c>
      <c r="H15" s="30">
        <f>G15</f>
        <v>13.6</v>
      </c>
      <c r="I15" s="156"/>
      <c r="J15" s="156"/>
      <c r="K15" s="156"/>
      <c r="L15" s="156"/>
      <c r="M15" s="156"/>
      <c r="N15" s="156"/>
      <c r="O15" s="156"/>
      <c r="P15" s="156"/>
      <c r="Q15" s="156"/>
      <c r="R15" s="31"/>
      <c r="S15" s="31">
        <f>H15</f>
        <v>13.6</v>
      </c>
      <c r="T15" s="31"/>
      <c r="U15" s="31">
        <f>D15*E15</f>
        <v>17.39</v>
      </c>
      <c r="V15" s="31"/>
      <c r="W15" s="105"/>
    </row>
    <row r="16" spans="1:23" ht="15" customHeight="1" x14ac:dyDescent="0.25">
      <c r="A16" s="150"/>
      <c r="B16" s="15" t="s">
        <v>229</v>
      </c>
      <c r="C16" s="73">
        <v>1.1000000000000001</v>
      </c>
      <c r="D16" s="131">
        <v>7.44</v>
      </c>
      <c r="E16" s="33">
        <v>1</v>
      </c>
      <c r="F16" s="29"/>
      <c r="G16" s="30">
        <f>C16*E16</f>
        <v>1.1000000000000001</v>
      </c>
      <c r="H16" s="30">
        <f>G16</f>
        <v>1.1000000000000001</v>
      </c>
      <c r="I16" s="156"/>
      <c r="J16" s="156"/>
      <c r="K16" s="156"/>
      <c r="L16" s="156"/>
      <c r="M16" s="156"/>
      <c r="N16" s="156"/>
      <c r="O16" s="156"/>
      <c r="P16" s="156">
        <f>H16</f>
        <v>1.1000000000000001</v>
      </c>
      <c r="Q16" s="156"/>
      <c r="R16" s="31"/>
      <c r="S16" s="31"/>
      <c r="T16" s="31"/>
      <c r="U16" s="31"/>
      <c r="V16" s="31"/>
      <c r="W16" s="105"/>
    </row>
    <row r="17" spans="1:23" ht="15" customHeight="1" x14ac:dyDescent="0.25">
      <c r="A17" s="150"/>
      <c r="B17" s="15" t="s">
        <v>169</v>
      </c>
      <c r="C17" s="73">
        <v>3.21</v>
      </c>
      <c r="D17" s="131">
        <v>7.28</v>
      </c>
      <c r="E17" s="33">
        <v>1</v>
      </c>
      <c r="F17" s="29"/>
      <c r="G17" s="30">
        <f t="shared" ref="G17:G48" si="4">C17*E17</f>
        <v>3.21</v>
      </c>
      <c r="H17" s="30">
        <f t="shared" ref="H17:H48" si="5">G17</f>
        <v>3.21</v>
      </c>
      <c r="I17" s="156"/>
      <c r="J17" s="156"/>
      <c r="K17" s="156"/>
      <c r="L17" s="156"/>
      <c r="M17" s="156"/>
      <c r="N17" s="156"/>
      <c r="O17" s="156"/>
      <c r="P17" s="156"/>
      <c r="Q17" s="156"/>
      <c r="R17" s="31"/>
      <c r="S17" s="31">
        <f t="shared" ref="S17:S18" si="6">H17</f>
        <v>3.21</v>
      </c>
      <c r="T17" s="31"/>
      <c r="U17" s="31">
        <f t="shared" ref="U17:U18" si="7">D17*E17</f>
        <v>7.28</v>
      </c>
      <c r="V17" s="31"/>
      <c r="W17" s="105"/>
    </row>
    <row r="18" spans="1:23" ht="15" customHeight="1" x14ac:dyDescent="0.25">
      <c r="A18" s="150"/>
      <c r="B18" s="15" t="s">
        <v>170</v>
      </c>
      <c r="C18" s="73">
        <v>22.6</v>
      </c>
      <c r="D18" s="131">
        <v>21.68</v>
      </c>
      <c r="E18" s="33">
        <v>1</v>
      </c>
      <c r="F18" s="29"/>
      <c r="G18" s="30">
        <f t="shared" si="4"/>
        <v>22.6</v>
      </c>
      <c r="H18" s="30">
        <f t="shared" si="5"/>
        <v>22.6</v>
      </c>
      <c r="I18" s="156"/>
      <c r="J18" s="156"/>
      <c r="K18" s="156"/>
      <c r="L18" s="156"/>
      <c r="M18" s="156"/>
      <c r="N18" s="156"/>
      <c r="O18" s="156"/>
      <c r="P18" s="156"/>
      <c r="Q18" s="156"/>
      <c r="R18" s="31"/>
      <c r="S18" s="31">
        <f t="shared" si="6"/>
        <v>22.6</v>
      </c>
      <c r="T18" s="31"/>
      <c r="U18" s="31">
        <f t="shared" si="7"/>
        <v>21.68</v>
      </c>
      <c r="V18" s="31"/>
      <c r="W18" s="105"/>
    </row>
    <row r="19" spans="1:23" ht="15" customHeight="1" x14ac:dyDescent="0.25">
      <c r="A19" s="150"/>
      <c r="B19" s="15" t="s">
        <v>189</v>
      </c>
      <c r="C19" s="73">
        <v>3.21</v>
      </c>
      <c r="D19" s="131">
        <v>7.28</v>
      </c>
      <c r="E19" s="33">
        <v>1</v>
      </c>
      <c r="F19" s="29"/>
      <c r="G19" s="30">
        <f t="shared" si="4"/>
        <v>3.21</v>
      </c>
      <c r="H19" s="30">
        <f t="shared" si="5"/>
        <v>3.21</v>
      </c>
      <c r="I19" s="156"/>
      <c r="J19" s="156"/>
      <c r="K19" s="156"/>
      <c r="L19" s="156"/>
      <c r="M19" s="156"/>
      <c r="N19" s="156"/>
      <c r="O19" s="156"/>
      <c r="P19" s="156"/>
      <c r="Q19" s="156"/>
      <c r="R19" s="31">
        <f>H19</f>
        <v>3.21</v>
      </c>
      <c r="S19" s="31"/>
      <c r="T19" s="31"/>
      <c r="U19" s="31"/>
      <c r="V19" s="31">
        <f>D19*E19</f>
        <v>7.28</v>
      </c>
      <c r="W19" s="105"/>
    </row>
    <row r="20" spans="1:23" ht="15" customHeight="1" x14ac:dyDescent="0.25">
      <c r="A20" s="150"/>
      <c r="B20" s="15" t="s">
        <v>171</v>
      </c>
      <c r="C20" s="73">
        <v>2.68</v>
      </c>
      <c r="D20" s="131">
        <v>6.55</v>
      </c>
      <c r="E20" s="33">
        <v>1</v>
      </c>
      <c r="F20" s="29"/>
      <c r="G20" s="30">
        <f t="shared" si="4"/>
        <v>2.68</v>
      </c>
      <c r="H20" s="30">
        <f t="shared" si="5"/>
        <v>2.68</v>
      </c>
      <c r="I20" s="156"/>
      <c r="J20" s="156"/>
      <c r="K20" s="156"/>
      <c r="L20" s="156"/>
      <c r="M20" s="156"/>
      <c r="N20" s="156"/>
      <c r="O20" s="156"/>
      <c r="P20" s="156"/>
      <c r="Q20" s="156"/>
      <c r="R20" s="31">
        <f t="shared" ref="R20:R24" si="8">H20</f>
        <v>2.68</v>
      </c>
      <c r="S20" s="31"/>
      <c r="T20" s="31"/>
      <c r="U20" s="31"/>
      <c r="V20" s="31">
        <f t="shared" ref="V20:V24" si="9">D20*E20</f>
        <v>6.55</v>
      </c>
      <c r="W20" s="105"/>
    </row>
    <row r="21" spans="1:23" ht="15" customHeight="1" x14ac:dyDescent="0.25">
      <c r="A21" s="150"/>
      <c r="B21" s="15" t="s">
        <v>172</v>
      </c>
      <c r="C21" s="73">
        <v>2.68</v>
      </c>
      <c r="D21" s="131">
        <v>6.58</v>
      </c>
      <c r="E21" s="33">
        <v>1</v>
      </c>
      <c r="F21" s="29"/>
      <c r="G21" s="30">
        <f t="shared" si="4"/>
        <v>2.68</v>
      </c>
      <c r="H21" s="30">
        <f t="shared" si="5"/>
        <v>2.68</v>
      </c>
      <c r="I21" s="156"/>
      <c r="J21" s="156"/>
      <c r="K21" s="156"/>
      <c r="L21" s="156"/>
      <c r="M21" s="156"/>
      <c r="N21" s="156"/>
      <c r="O21" s="156"/>
      <c r="P21" s="156"/>
      <c r="Q21" s="156"/>
      <c r="R21" s="31">
        <f t="shared" si="8"/>
        <v>2.68</v>
      </c>
      <c r="S21" s="31"/>
      <c r="T21" s="31"/>
      <c r="U21" s="31"/>
      <c r="V21" s="31">
        <f t="shared" si="9"/>
        <v>6.58</v>
      </c>
      <c r="W21" s="105"/>
    </row>
    <row r="22" spans="1:23" ht="15" customHeight="1" x14ac:dyDescent="0.25">
      <c r="A22" s="150"/>
      <c r="B22" s="15" t="s">
        <v>168</v>
      </c>
      <c r="C22" s="73">
        <v>12.54</v>
      </c>
      <c r="D22" s="131">
        <v>17.600000000000001</v>
      </c>
      <c r="E22" s="33">
        <v>1</v>
      </c>
      <c r="F22" s="29"/>
      <c r="G22" s="30">
        <f t="shared" si="4"/>
        <v>12.54</v>
      </c>
      <c r="H22" s="30">
        <f t="shared" si="5"/>
        <v>12.54</v>
      </c>
      <c r="I22" s="156"/>
      <c r="J22" s="156"/>
      <c r="K22" s="156"/>
      <c r="L22" s="156"/>
      <c r="M22" s="156"/>
      <c r="N22" s="156"/>
      <c r="O22" s="156"/>
      <c r="P22" s="156"/>
      <c r="Q22" s="156"/>
      <c r="R22" s="31"/>
      <c r="S22" s="31">
        <f t="shared" ref="S22" si="10">H22</f>
        <v>12.54</v>
      </c>
      <c r="T22" s="31"/>
      <c r="U22" s="31">
        <f t="shared" ref="U22" si="11">D22*E22</f>
        <v>17.600000000000001</v>
      </c>
      <c r="V22" s="31"/>
      <c r="W22" s="105"/>
    </row>
    <row r="23" spans="1:23" ht="15" customHeight="1" x14ac:dyDescent="0.25">
      <c r="A23" s="150"/>
      <c r="B23" s="15" t="s">
        <v>174</v>
      </c>
      <c r="C23" s="73">
        <v>7.56</v>
      </c>
      <c r="D23" s="131">
        <v>11.1</v>
      </c>
      <c r="E23" s="33">
        <v>1</v>
      </c>
      <c r="F23" s="29"/>
      <c r="G23" s="30">
        <f t="shared" si="4"/>
        <v>7.56</v>
      </c>
      <c r="H23" s="30">
        <f t="shared" si="5"/>
        <v>7.56</v>
      </c>
      <c r="I23" s="156"/>
      <c r="J23" s="156"/>
      <c r="K23" s="156"/>
      <c r="L23" s="156"/>
      <c r="M23" s="156"/>
      <c r="N23" s="156"/>
      <c r="O23" s="156"/>
      <c r="P23" s="156"/>
      <c r="Q23" s="156"/>
      <c r="R23" s="31">
        <f t="shared" si="8"/>
        <v>7.56</v>
      </c>
      <c r="S23" s="31"/>
      <c r="T23" s="31"/>
      <c r="U23" s="31"/>
      <c r="V23" s="31">
        <f t="shared" si="9"/>
        <v>11.1</v>
      </c>
      <c r="W23" s="105"/>
    </row>
    <row r="24" spans="1:23" ht="15" customHeight="1" x14ac:dyDescent="0.25">
      <c r="A24" s="150"/>
      <c r="B24" s="15" t="s">
        <v>173</v>
      </c>
      <c r="C24" s="73">
        <v>7.85</v>
      </c>
      <c r="D24" s="131">
        <v>11.34</v>
      </c>
      <c r="E24" s="33">
        <v>1</v>
      </c>
      <c r="F24" s="29"/>
      <c r="G24" s="30">
        <f t="shared" si="4"/>
        <v>7.85</v>
      </c>
      <c r="H24" s="30">
        <f t="shared" si="5"/>
        <v>7.85</v>
      </c>
      <c r="I24" s="156"/>
      <c r="J24" s="156"/>
      <c r="K24" s="156"/>
      <c r="L24" s="156"/>
      <c r="M24" s="156"/>
      <c r="N24" s="156"/>
      <c r="O24" s="156"/>
      <c r="P24" s="156"/>
      <c r="Q24" s="156"/>
      <c r="R24" s="31">
        <f t="shared" si="8"/>
        <v>7.85</v>
      </c>
      <c r="S24" s="31"/>
      <c r="T24" s="31"/>
      <c r="U24" s="31"/>
      <c r="V24" s="31">
        <f t="shared" si="9"/>
        <v>11.34</v>
      </c>
      <c r="W24" s="105"/>
    </row>
    <row r="25" spans="1:23" ht="15" customHeight="1" x14ac:dyDescent="0.25">
      <c r="A25" s="150"/>
      <c r="B25" s="15" t="s">
        <v>175</v>
      </c>
      <c r="C25" s="73">
        <v>7.23</v>
      </c>
      <c r="D25" s="131">
        <v>10.96</v>
      </c>
      <c r="E25" s="33">
        <v>1</v>
      </c>
      <c r="F25" s="29"/>
      <c r="G25" s="30">
        <f t="shared" si="4"/>
        <v>7.23</v>
      </c>
      <c r="H25" s="30">
        <f t="shared" si="5"/>
        <v>7.23</v>
      </c>
      <c r="I25" s="156"/>
      <c r="J25" s="156"/>
      <c r="K25" s="156"/>
      <c r="L25" s="156"/>
      <c r="M25" s="156"/>
      <c r="N25" s="156"/>
      <c r="O25" s="156"/>
      <c r="P25" s="156"/>
      <c r="Q25" s="156"/>
      <c r="R25" s="31"/>
      <c r="S25" s="31">
        <f t="shared" ref="S25:S30" si="12">H25</f>
        <v>7.23</v>
      </c>
      <c r="T25" s="31"/>
      <c r="U25" s="31">
        <f t="shared" ref="U25:U30" si="13">D25*E25</f>
        <v>10.96</v>
      </c>
      <c r="V25" s="31"/>
      <c r="W25" s="105"/>
    </row>
    <row r="26" spans="1:23" ht="15" customHeight="1" x14ac:dyDescent="0.25">
      <c r="A26" s="150"/>
      <c r="B26" s="15" t="s">
        <v>176</v>
      </c>
      <c r="C26" s="73">
        <v>25.34</v>
      </c>
      <c r="D26" s="131">
        <v>24.8</v>
      </c>
      <c r="E26" s="33">
        <v>1</v>
      </c>
      <c r="F26" s="29"/>
      <c r="G26" s="30">
        <f t="shared" si="4"/>
        <v>25.34</v>
      </c>
      <c r="H26" s="30">
        <f t="shared" si="5"/>
        <v>25.34</v>
      </c>
      <c r="I26" s="156"/>
      <c r="J26" s="156"/>
      <c r="K26" s="156"/>
      <c r="L26" s="156"/>
      <c r="M26" s="156"/>
      <c r="N26" s="156"/>
      <c r="O26" s="156"/>
      <c r="P26" s="156"/>
      <c r="Q26" s="156"/>
      <c r="R26" s="31"/>
      <c r="S26" s="31">
        <f t="shared" si="12"/>
        <v>25.34</v>
      </c>
      <c r="T26" s="31"/>
      <c r="U26" s="31">
        <f t="shared" si="13"/>
        <v>24.8</v>
      </c>
      <c r="V26" s="31"/>
      <c r="W26" s="105"/>
    </row>
    <row r="27" spans="1:23" ht="15" customHeight="1" x14ac:dyDescent="0.25">
      <c r="A27" s="150"/>
      <c r="B27" s="15" t="s">
        <v>177</v>
      </c>
      <c r="C27" s="73">
        <v>4.16</v>
      </c>
      <c r="D27" s="131">
        <v>8.4</v>
      </c>
      <c r="E27" s="33">
        <v>1</v>
      </c>
      <c r="F27" s="29"/>
      <c r="G27" s="30">
        <f t="shared" si="4"/>
        <v>4.16</v>
      </c>
      <c r="H27" s="30">
        <f t="shared" si="5"/>
        <v>4.16</v>
      </c>
      <c r="I27" s="156"/>
      <c r="J27" s="156"/>
      <c r="K27" s="156"/>
      <c r="L27" s="156"/>
      <c r="M27" s="156"/>
      <c r="N27" s="156"/>
      <c r="O27" s="156"/>
      <c r="P27" s="156">
        <f>H27</f>
        <v>4.16</v>
      </c>
      <c r="Q27" s="156"/>
      <c r="R27" s="31"/>
      <c r="S27" s="31">
        <f t="shared" si="12"/>
        <v>4.16</v>
      </c>
      <c r="T27" s="31"/>
      <c r="U27" s="31">
        <f t="shared" si="13"/>
        <v>8.4</v>
      </c>
      <c r="V27" s="31"/>
      <c r="W27" s="105"/>
    </row>
    <row r="28" spans="1:23" ht="15" customHeight="1" x14ac:dyDescent="0.25">
      <c r="A28" s="150"/>
      <c r="B28" s="15" t="s">
        <v>178</v>
      </c>
      <c r="C28" s="73">
        <v>6</v>
      </c>
      <c r="D28" s="131">
        <v>9.8000000000000007</v>
      </c>
      <c r="E28" s="33">
        <v>1</v>
      </c>
      <c r="F28" s="29"/>
      <c r="G28" s="30">
        <f t="shared" si="4"/>
        <v>6</v>
      </c>
      <c r="H28" s="30">
        <f t="shared" si="5"/>
        <v>6</v>
      </c>
      <c r="I28" s="156"/>
      <c r="J28" s="156"/>
      <c r="K28" s="156"/>
      <c r="L28" s="156"/>
      <c r="M28" s="156"/>
      <c r="N28" s="156"/>
      <c r="O28" s="156"/>
      <c r="P28" s="156"/>
      <c r="Q28" s="156"/>
      <c r="R28" s="31"/>
      <c r="S28" s="31">
        <f t="shared" si="12"/>
        <v>6</v>
      </c>
      <c r="T28" s="31"/>
      <c r="U28" s="31">
        <f t="shared" si="13"/>
        <v>9.8000000000000007</v>
      </c>
      <c r="V28" s="31"/>
      <c r="W28" s="105"/>
    </row>
    <row r="29" spans="1:23" ht="15" customHeight="1" x14ac:dyDescent="0.25">
      <c r="A29" s="150"/>
      <c r="B29" s="15" t="s">
        <v>179</v>
      </c>
      <c r="C29" s="73">
        <v>29.62</v>
      </c>
      <c r="D29" s="131">
        <v>29.4</v>
      </c>
      <c r="E29" s="33">
        <v>1</v>
      </c>
      <c r="F29" s="29"/>
      <c r="G29" s="30">
        <f t="shared" si="4"/>
        <v>29.62</v>
      </c>
      <c r="H29" s="30">
        <f t="shared" si="5"/>
        <v>29.62</v>
      </c>
      <c r="I29" s="156"/>
      <c r="J29" s="156"/>
      <c r="K29" s="156"/>
      <c r="L29" s="156"/>
      <c r="M29" s="156"/>
      <c r="N29" s="156"/>
      <c r="O29" s="156"/>
      <c r="P29" s="156"/>
      <c r="Q29" s="156"/>
      <c r="R29" s="31"/>
      <c r="S29" s="31">
        <f t="shared" si="12"/>
        <v>29.62</v>
      </c>
      <c r="T29" s="31"/>
      <c r="U29" s="31">
        <f t="shared" si="13"/>
        <v>29.4</v>
      </c>
      <c r="V29" s="31"/>
      <c r="W29" s="105"/>
    </row>
    <row r="30" spans="1:23" ht="15" customHeight="1" x14ac:dyDescent="0.25">
      <c r="A30" s="150"/>
      <c r="B30" s="15" t="s">
        <v>161</v>
      </c>
      <c r="C30" s="73">
        <v>34.35</v>
      </c>
      <c r="D30" s="131">
        <v>24.1</v>
      </c>
      <c r="E30" s="33">
        <v>1</v>
      </c>
      <c r="F30" s="29"/>
      <c r="G30" s="30">
        <f t="shared" si="4"/>
        <v>34.35</v>
      </c>
      <c r="H30" s="30">
        <f t="shared" si="5"/>
        <v>34.35</v>
      </c>
      <c r="I30" s="156"/>
      <c r="J30" s="156"/>
      <c r="K30" s="156"/>
      <c r="L30" s="156"/>
      <c r="M30" s="156"/>
      <c r="N30" s="156"/>
      <c r="O30" s="156"/>
      <c r="P30" s="156"/>
      <c r="Q30" s="156"/>
      <c r="R30" s="31"/>
      <c r="S30" s="31">
        <f t="shared" si="12"/>
        <v>34.35</v>
      </c>
      <c r="T30" s="31"/>
      <c r="U30" s="31">
        <f t="shared" si="13"/>
        <v>24.1</v>
      </c>
      <c r="V30" s="31"/>
      <c r="W30" s="105"/>
    </row>
    <row r="31" spans="1:23" ht="15" customHeight="1" x14ac:dyDescent="0.25">
      <c r="A31" s="150"/>
      <c r="B31" s="15" t="s">
        <v>180</v>
      </c>
      <c r="C31" s="73">
        <v>4.34</v>
      </c>
      <c r="D31" s="131">
        <v>8.5</v>
      </c>
      <c r="E31" s="33">
        <v>1</v>
      </c>
      <c r="F31" s="29"/>
      <c r="G31" s="30">
        <f t="shared" si="4"/>
        <v>4.34</v>
      </c>
      <c r="H31" s="30">
        <f t="shared" si="5"/>
        <v>4.34</v>
      </c>
      <c r="I31" s="156"/>
      <c r="J31" s="156"/>
      <c r="K31" s="156"/>
      <c r="L31" s="156"/>
      <c r="M31" s="156"/>
      <c r="N31" s="156"/>
      <c r="O31" s="156"/>
      <c r="P31" s="156"/>
      <c r="Q31" s="156"/>
      <c r="R31" s="31">
        <f>H31</f>
        <v>4.34</v>
      </c>
      <c r="S31" s="31"/>
      <c r="T31" s="31"/>
      <c r="U31" s="31"/>
      <c r="V31" s="31">
        <f t="shared" ref="V31" si="14">D31*E31</f>
        <v>8.5</v>
      </c>
      <c r="W31" s="105"/>
    </row>
    <row r="32" spans="1:23" ht="15" customHeight="1" x14ac:dyDescent="0.25">
      <c r="A32" s="150"/>
      <c r="B32" s="15" t="s">
        <v>158</v>
      </c>
      <c r="C32" s="73">
        <v>3.06</v>
      </c>
      <c r="D32" s="131">
        <v>7.5</v>
      </c>
      <c r="E32" s="33">
        <v>1</v>
      </c>
      <c r="F32" s="29"/>
      <c r="G32" s="30">
        <f t="shared" si="4"/>
        <v>3.06</v>
      </c>
      <c r="H32" s="30">
        <f t="shared" si="5"/>
        <v>3.06</v>
      </c>
      <c r="I32" s="156"/>
      <c r="J32" s="156"/>
      <c r="K32" s="156"/>
      <c r="L32" s="156"/>
      <c r="M32" s="156"/>
      <c r="N32" s="156"/>
      <c r="O32" s="156"/>
      <c r="P32" s="156"/>
      <c r="Q32" s="156">
        <f>H32</f>
        <v>3.06</v>
      </c>
      <c r="R32" s="31"/>
      <c r="S32" s="31"/>
      <c r="T32" s="31"/>
      <c r="U32" s="31"/>
      <c r="V32" s="31"/>
      <c r="W32" s="105"/>
    </row>
    <row r="33" spans="1:23" ht="15" customHeight="1" x14ac:dyDescent="0.25">
      <c r="A33" s="150"/>
      <c r="B33" s="15" t="s">
        <v>181</v>
      </c>
      <c r="C33" s="73">
        <v>16.23</v>
      </c>
      <c r="D33" s="131">
        <v>16.559999999999999</v>
      </c>
      <c r="E33" s="33">
        <v>1</v>
      </c>
      <c r="F33" s="29"/>
      <c r="G33" s="30">
        <f t="shared" si="4"/>
        <v>16.23</v>
      </c>
      <c r="H33" s="30">
        <f t="shared" si="5"/>
        <v>16.23</v>
      </c>
      <c r="I33" s="156"/>
      <c r="J33" s="156"/>
      <c r="K33" s="156"/>
      <c r="L33" s="156"/>
      <c r="M33" s="156"/>
      <c r="N33" s="156"/>
      <c r="O33" s="156"/>
      <c r="P33" s="156"/>
      <c r="Q33" s="156"/>
      <c r="R33" s="31"/>
      <c r="S33" s="31">
        <f t="shared" ref="S33:S41" si="15">H33</f>
        <v>16.23</v>
      </c>
      <c r="T33" s="31"/>
      <c r="U33" s="31">
        <f t="shared" ref="U33:U41" si="16">D33*E33</f>
        <v>16.559999999999999</v>
      </c>
      <c r="V33" s="31"/>
      <c r="W33" s="105"/>
    </row>
    <row r="34" spans="1:23" ht="15" customHeight="1" x14ac:dyDescent="0.25">
      <c r="A34" s="150"/>
      <c r="B34" s="15" t="s">
        <v>182</v>
      </c>
      <c r="C34" s="73">
        <v>23.87</v>
      </c>
      <c r="D34" s="131">
        <v>19.61</v>
      </c>
      <c r="E34" s="33">
        <v>1</v>
      </c>
      <c r="F34" s="29"/>
      <c r="G34" s="30">
        <f t="shared" si="4"/>
        <v>23.87</v>
      </c>
      <c r="H34" s="30">
        <f t="shared" si="5"/>
        <v>23.87</v>
      </c>
      <c r="I34" s="156"/>
      <c r="J34" s="156"/>
      <c r="K34" s="156"/>
      <c r="L34" s="156"/>
      <c r="M34" s="156"/>
      <c r="N34" s="156"/>
      <c r="O34" s="156"/>
      <c r="P34" s="156"/>
      <c r="Q34" s="156"/>
      <c r="R34" s="31"/>
      <c r="S34" s="31">
        <f t="shared" si="15"/>
        <v>23.87</v>
      </c>
      <c r="T34" s="31"/>
      <c r="U34" s="31">
        <f t="shared" si="16"/>
        <v>19.61</v>
      </c>
      <c r="V34" s="31"/>
      <c r="W34" s="105"/>
    </row>
    <row r="35" spans="1:23" ht="15" customHeight="1" x14ac:dyDescent="0.25">
      <c r="A35" s="150"/>
      <c r="B35" s="15" t="s">
        <v>183</v>
      </c>
      <c r="C35" s="73">
        <v>12.29</v>
      </c>
      <c r="D35" s="131">
        <v>14.8</v>
      </c>
      <c r="E35" s="33">
        <v>1</v>
      </c>
      <c r="F35" s="29"/>
      <c r="G35" s="30">
        <f t="shared" si="4"/>
        <v>12.29</v>
      </c>
      <c r="H35" s="30">
        <f t="shared" si="5"/>
        <v>12.29</v>
      </c>
      <c r="I35" s="156"/>
      <c r="J35" s="156"/>
      <c r="K35" s="156"/>
      <c r="L35" s="156"/>
      <c r="M35" s="156"/>
      <c r="N35" s="156"/>
      <c r="O35" s="156"/>
      <c r="P35" s="156"/>
      <c r="Q35" s="156"/>
      <c r="R35" s="31"/>
      <c r="S35" s="31">
        <f t="shared" si="15"/>
        <v>12.29</v>
      </c>
      <c r="T35" s="31"/>
      <c r="U35" s="31">
        <f t="shared" si="16"/>
        <v>14.8</v>
      </c>
      <c r="V35" s="31"/>
      <c r="W35" s="105"/>
    </row>
    <row r="36" spans="1:23" ht="15" customHeight="1" x14ac:dyDescent="0.25">
      <c r="A36" s="150"/>
      <c r="B36" s="15" t="s">
        <v>184</v>
      </c>
      <c r="C36" s="73">
        <v>12.95</v>
      </c>
      <c r="D36" s="131">
        <v>15.07</v>
      </c>
      <c r="E36" s="33">
        <v>1</v>
      </c>
      <c r="F36" s="29"/>
      <c r="G36" s="30">
        <f t="shared" si="4"/>
        <v>12.95</v>
      </c>
      <c r="H36" s="30">
        <f t="shared" si="5"/>
        <v>12.95</v>
      </c>
      <c r="I36" s="156"/>
      <c r="J36" s="156"/>
      <c r="K36" s="156"/>
      <c r="L36" s="156"/>
      <c r="M36" s="156"/>
      <c r="N36" s="156"/>
      <c r="O36" s="156"/>
      <c r="P36" s="156"/>
      <c r="Q36" s="156"/>
      <c r="R36" s="31"/>
      <c r="S36" s="31">
        <f t="shared" si="15"/>
        <v>12.95</v>
      </c>
      <c r="T36" s="31"/>
      <c r="U36" s="31">
        <f t="shared" si="16"/>
        <v>15.07</v>
      </c>
      <c r="V36" s="31"/>
      <c r="W36" s="105"/>
    </row>
    <row r="37" spans="1:23" ht="15" customHeight="1" x14ac:dyDescent="0.25">
      <c r="A37" s="150"/>
      <c r="B37" s="15" t="s">
        <v>185</v>
      </c>
      <c r="C37" s="73">
        <v>9.17</v>
      </c>
      <c r="D37" s="131">
        <v>14.55</v>
      </c>
      <c r="E37" s="33">
        <v>1</v>
      </c>
      <c r="F37" s="29"/>
      <c r="G37" s="30">
        <f t="shared" si="4"/>
        <v>9.17</v>
      </c>
      <c r="H37" s="30">
        <f t="shared" si="5"/>
        <v>9.17</v>
      </c>
      <c r="I37" s="156"/>
      <c r="J37" s="156"/>
      <c r="K37" s="156"/>
      <c r="L37" s="156"/>
      <c r="M37" s="156"/>
      <c r="N37" s="156"/>
      <c r="O37" s="156"/>
      <c r="P37" s="156"/>
      <c r="Q37" s="156"/>
      <c r="R37" s="31"/>
      <c r="S37" s="31">
        <f t="shared" si="15"/>
        <v>9.17</v>
      </c>
      <c r="T37" s="31"/>
      <c r="U37" s="31">
        <f t="shared" si="16"/>
        <v>14.55</v>
      </c>
      <c r="V37" s="31"/>
      <c r="W37" s="105"/>
    </row>
    <row r="38" spans="1:23" ht="15" customHeight="1" x14ac:dyDescent="0.25">
      <c r="A38" s="150"/>
      <c r="B38" s="15" t="s">
        <v>186</v>
      </c>
      <c r="C38" s="73">
        <v>6.94</v>
      </c>
      <c r="D38" s="131">
        <v>10.89</v>
      </c>
      <c r="E38" s="33">
        <v>1</v>
      </c>
      <c r="F38" s="29"/>
      <c r="G38" s="30">
        <f t="shared" si="4"/>
        <v>6.94</v>
      </c>
      <c r="H38" s="30">
        <f t="shared" si="5"/>
        <v>6.94</v>
      </c>
      <c r="I38" s="156"/>
      <c r="J38" s="156"/>
      <c r="K38" s="156"/>
      <c r="L38" s="156"/>
      <c r="M38" s="156"/>
      <c r="N38" s="156"/>
      <c r="O38" s="156"/>
      <c r="P38" s="156"/>
      <c r="Q38" s="156"/>
      <c r="R38" s="31"/>
      <c r="S38" s="31">
        <f t="shared" si="15"/>
        <v>6.94</v>
      </c>
      <c r="T38" s="31"/>
      <c r="U38" s="31">
        <f t="shared" si="16"/>
        <v>10.89</v>
      </c>
      <c r="V38" s="31"/>
      <c r="W38" s="105"/>
    </row>
    <row r="39" spans="1:23" ht="15" customHeight="1" x14ac:dyDescent="0.25">
      <c r="A39" s="150"/>
      <c r="B39" s="15" t="s">
        <v>187</v>
      </c>
      <c r="C39" s="73">
        <v>5.3</v>
      </c>
      <c r="D39" s="131">
        <v>9.3000000000000007</v>
      </c>
      <c r="E39" s="33">
        <v>1</v>
      </c>
      <c r="F39" s="29"/>
      <c r="G39" s="30">
        <f t="shared" si="4"/>
        <v>5.3</v>
      </c>
      <c r="H39" s="30">
        <f t="shared" si="5"/>
        <v>5.3</v>
      </c>
      <c r="I39" s="156"/>
      <c r="J39" s="156"/>
      <c r="K39" s="156"/>
      <c r="L39" s="156"/>
      <c r="M39" s="156"/>
      <c r="N39" s="156"/>
      <c r="O39" s="156"/>
      <c r="P39" s="156"/>
      <c r="Q39" s="156"/>
      <c r="R39" s="31"/>
      <c r="S39" s="31">
        <f t="shared" si="15"/>
        <v>5.3</v>
      </c>
      <c r="T39" s="31"/>
      <c r="U39" s="31">
        <f t="shared" si="16"/>
        <v>9.3000000000000007</v>
      </c>
      <c r="V39" s="31"/>
      <c r="W39" s="105"/>
    </row>
    <row r="40" spans="1:23" ht="15" customHeight="1" x14ac:dyDescent="0.25">
      <c r="A40" s="150"/>
      <c r="B40" s="15" t="s">
        <v>188</v>
      </c>
      <c r="C40" s="73">
        <v>5.9</v>
      </c>
      <c r="D40" s="131">
        <v>9.75</v>
      </c>
      <c r="E40" s="33">
        <v>1</v>
      </c>
      <c r="F40" s="29"/>
      <c r="G40" s="30">
        <f t="shared" si="4"/>
        <v>5.9</v>
      </c>
      <c r="H40" s="30">
        <f t="shared" si="5"/>
        <v>5.9</v>
      </c>
      <c r="I40" s="156"/>
      <c r="J40" s="156"/>
      <c r="K40" s="156"/>
      <c r="L40" s="156"/>
      <c r="M40" s="156"/>
      <c r="N40" s="156"/>
      <c r="O40" s="156"/>
      <c r="P40" s="156"/>
      <c r="Q40" s="156"/>
      <c r="R40" s="31"/>
      <c r="S40" s="31">
        <f t="shared" si="15"/>
        <v>5.9</v>
      </c>
      <c r="T40" s="31"/>
      <c r="U40" s="31">
        <f t="shared" si="16"/>
        <v>9.75</v>
      </c>
      <c r="V40" s="31"/>
      <c r="W40" s="105"/>
    </row>
    <row r="41" spans="1:23" ht="15" customHeight="1" x14ac:dyDescent="0.25">
      <c r="A41" s="150"/>
      <c r="B41" s="220" t="s">
        <v>168</v>
      </c>
      <c r="C41" s="222">
        <v>23.22</v>
      </c>
      <c r="D41" s="131">
        <f>30.86-2</f>
        <v>28.86</v>
      </c>
      <c r="E41" s="33">
        <v>1</v>
      </c>
      <c r="F41" s="29"/>
      <c r="G41" s="30">
        <f t="shared" si="4"/>
        <v>23.22</v>
      </c>
      <c r="H41" s="30">
        <f t="shared" si="5"/>
        <v>23.22</v>
      </c>
      <c r="I41" s="156"/>
      <c r="J41" s="156"/>
      <c r="K41" s="156"/>
      <c r="L41" s="156"/>
      <c r="M41" s="156"/>
      <c r="N41" s="156"/>
      <c r="O41" s="156"/>
      <c r="P41" s="156"/>
      <c r="Q41" s="156"/>
      <c r="R41" s="31"/>
      <c r="S41" s="31">
        <f t="shared" si="15"/>
        <v>23.22</v>
      </c>
      <c r="T41" s="31"/>
      <c r="U41" s="31">
        <f t="shared" si="16"/>
        <v>28.86</v>
      </c>
      <c r="V41" s="31"/>
      <c r="W41" s="105"/>
    </row>
    <row r="42" spans="1:23" ht="15" customHeight="1" x14ac:dyDescent="0.25">
      <c r="A42" s="150"/>
      <c r="B42" s="157" t="s">
        <v>229</v>
      </c>
      <c r="C42" s="73">
        <v>0.88</v>
      </c>
      <c r="D42" s="131">
        <v>4.33</v>
      </c>
      <c r="E42" s="33">
        <v>1</v>
      </c>
      <c r="F42" s="29"/>
      <c r="G42" s="30">
        <f t="shared" si="4"/>
        <v>0.88</v>
      </c>
      <c r="H42" s="30">
        <f t="shared" si="5"/>
        <v>0.88</v>
      </c>
      <c r="I42" s="156"/>
      <c r="J42" s="156"/>
      <c r="K42" s="156"/>
      <c r="L42" s="156"/>
      <c r="M42" s="156"/>
      <c r="N42" s="156"/>
      <c r="O42" s="156"/>
      <c r="P42" s="156">
        <f>C42*E42</f>
        <v>0.88</v>
      </c>
      <c r="Q42" s="156"/>
      <c r="R42" s="31"/>
      <c r="S42" s="31"/>
      <c r="T42" s="31"/>
      <c r="U42" s="31"/>
      <c r="V42" s="31"/>
      <c r="W42" s="105"/>
    </row>
    <row r="43" spans="1:23" ht="15" customHeight="1" x14ac:dyDescent="0.25">
      <c r="A43" s="150"/>
      <c r="B43" s="15" t="s">
        <v>190</v>
      </c>
      <c r="C43" s="73">
        <v>6.61</v>
      </c>
      <c r="D43" s="131">
        <v>10.55</v>
      </c>
      <c r="E43" s="33">
        <v>2</v>
      </c>
      <c r="F43" s="29"/>
      <c r="G43" s="30">
        <f t="shared" si="4"/>
        <v>13.22</v>
      </c>
      <c r="H43" s="30">
        <f t="shared" si="5"/>
        <v>13.22</v>
      </c>
      <c r="I43" s="156"/>
      <c r="J43" s="156"/>
      <c r="K43" s="156"/>
      <c r="L43" s="156"/>
      <c r="M43" s="156"/>
      <c r="N43" s="156"/>
      <c r="O43" s="156"/>
      <c r="P43" s="156"/>
      <c r="Q43" s="156"/>
      <c r="R43" s="31">
        <f>H43</f>
        <v>13.22</v>
      </c>
      <c r="S43" s="31"/>
      <c r="T43" s="31"/>
      <c r="U43" s="31"/>
      <c r="V43" s="31">
        <f t="shared" ref="V43" si="17">D43*E43</f>
        <v>21.1</v>
      </c>
      <c r="W43" s="105"/>
    </row>
    <row r="44" spans="1:23" ht="15" customHeight="1" x14ac:dyDescent="0.25">
      <c r="A44" s="150"/>
      <c r="B44" s="15" t="s">
        <v>229</v>
      </c>
      <c r="C44" s="73">
        <v>0.51</v>
      </c>
      <c r="D44" s="131">
        <v>3.03</v>
      </c>
      <c r="E44" s="33">
        <v>1</v>
      </c>
      <c r="F44" s="29"/>
      <c r="G44" s="30">
        <f t="shared" si="4"/>
        <v>0.51</v>
      </c>
      <c r="H44" s="30">
        <f t="shared" si="5"/>
        <v>0.51</v>
      </c>
      <c r="I44" s="156"/>
      <c r="J44" s="156"/>
      <c r="K44" s="156"/>
      <c r="L44" s="156"/>
      <c r="M44" s="156"/>
      <c r="N44" s="156"/>
      <c r="O44" s="156"/>
      <c r="P44" s="156">
        <f>C44*E44</f>
        <v>0.51</v>
      </c>
      <c r="Q44" s="156"/>
      <c r="R44" s="31"/>
      <c r="S44" s="31"/>
      <c r="T44" s="31"/>
      <c r="U44" s="31"/>
      <c r="V44" s="31"/>
      <c r="W44" s="105"/>
    </row>
    <row r="45" spans="1:23" ht="15" customHeight="1" x14ac:dyDescent="0.25">
      <c r="A45" s="150"/>
      <c r="B45" s="15" t="s">
        <v>229</v>
      </c>
      <c r="C45" s="73">
        <v>1.1100000000000001</v>
      </c>
      <c r="D45" s="131">
        <v>5.35</v>
      </c>
      <c r="E45" s="33">
        <v>1</v>
      </c>
      <c r="F45" s="29"/>
      <c r="G45" s="30">
        <f t="shared" si="4"/>
        <v>1.1100000000000001</v>
      </c>
      <c r="H45" s="30">
        <f t="shared" si="5"/>
        <v>1.1100000000000001</v>
      </c>
      <c r="I45" s="156"/>
      <c r="J45" s="156"/>
      <c r="K45" s="156"/>
      <c r="L45" s="156"/>
      <c r="M45" s="156"/>
      <c r="N45" s="156"/>
      <c r="O45" s="156"/>
      <c r="P45" s="156">
        <f>C45*E45</f>
        <v>1.1100000000000001</v>
      </c>
      <c r="Q45" s="156"/>
      <c r="R45" s="31"/>
      <c r="S45" s="31"/>
      <c r="T45" s="31"/>
      <c r="U45" s="31"/>
      <c r="V45" s="31"/>
      <c r="W45" s="105"/>
    </row>
    <row r="46" spans="1:23" ht="14.4" x14ac:dyDescent="0.25">
      <c r="A46" s="150"/>
      <c r="B46" s="220" t="s">
        <v>168</v>
      </c>
      <c r="C46" s="222">
        <v>170.79</v>
      </c>
      <c r="D46" s="131">
        <v>93.29</v>
      </c>
      <c r="E46" s="33">
        <v>1</v>
      </c>
      <c r="F46" s="29"/>
      <c r="G46" s="30">
        <f t="shared" si="4"/>
        <v>170.79</v>
      </c>
      <c r="H46" s="30">
        <f t="shared" si="5"/>
        <v>170.79</v>
      </c>
      <c r="I46" s="156"/>
      <c r="J46" s="156"/>
      <c r="K46" s="156"/>
      <c r="L46" s="156"/>
      <c r="M46" s="156"/>
      <c r="N46" s="156"/>
      <c r="O46" s="156"/>
      <c r="P46" s="156"/>
      <c r="Q46" s="156"/>
      <c r="R46" s="31"/>
      <c r="S46" s="31">
        <f t="shared" ref="S46" si="18">H46</f>
        <v>170.79</v>
      </c>
      <c r="T46" s="31"/>
      <c r="U46" s="31">
        <f t="shared" ref="U46" si="19">D46*E46</f>
        <v>93.29</v>
      </c>
      <c r="V46" s="31"/>
      <c r="W46" s="105"/>
    </row>
    <row r="47" spans="1:23" ht="14.4" x14ac:dyDescent="0.25">
      <c r="A47" s="150"/>
      <c r="B47" s="15" t="s">
        <v>229</v>
      </c>
      <c r="C47" s="73">
        <v>0.41</v>
      </c>
      <c r="D47" s="131">
        <v>3.87</v>
      </c>
      <c r="E47" s="33">
        <v>1</v>
      </c>
      <c r="F47" s="33"/>
      <c r="G47" s="268">
        <f t="shared" si="4"/>
        <v>0.41</v>
      </c>
      <c r="H47" s="268">
        <f t="shared" si="5"/>
        <v>0.41</v>
      </c>
      <c r="I47" s="268"/>
      <c r="J47" s="268"/>
      <c r="K47" s="268"/>
      <c r="L47" s="268"/>
      <c r="M47" s="268"/>
      <c r="N47" s="268"/>
      <c r="O47" s="268"/>
      <c r="P47" s="156">
        <f>C47*E47</f>
        <v>0.41</v>
      </c>
      <c r="Q47" s="268"/>
      <c r="R47" s="32"/>
      <c r="S47" s="32"/>
      <c r="T47" s="32"/>
      <c r="U47" s="32"/>
      <c r="V47" s="32"/>
      <c r="W47" s="105"/>
    </row>
    <row r="48" spans="1:23" ht="15" thickBot="1" x14ac:dyDescent="0.3">
      <c r="A48" s="150"/>
      <c r="B48" s="279" t="s">
        <v>229</v>
      </c>
      <c r="C48" s="344">
        <v>3.03</v>
      </c>
      <c r="D48" s="328">
        <v>8.51</v>
      </c>
      <c r="E48" s="330">
        <v>1</v>
      </c>
      <c r="F48" s="330"/>
      <c r="G48" s="345">
        <f t="shared" si="4"/>
        <v>3.03</v>
      </c>
      <c r="H48" s="345">
        <f t="shared" si="5"/>
        <v>3.03</v>
      </c>
      <c r="I48" s="345"/>
      <c r="J48" s="345"/>
      <c r="K48" s="345"/>
      <c r="L48" s="345"/>
      <c r="M48" s="345"/>
      <c r="N48" s="345"/>
      <c r="O48" s="345"/>
      <c r="P48" s="345">
        <f>C48*E48</f>
        <v>3.03</v>
      </c>
      <c r="Q48" s="345"/>
      <c r="R48" s="348"/>
      <c r="S48" s="348"/>
      <c r="T48" s="348"/>
      <c r="U48" s="348"/>
      <c r="V48" s="348"/>
      <c r="W48" s="105"/>
    </row>
    <row r="49" spans="1:23" ht="14.4" x14ac:dyDescent="0.25">
      <c r="A49" s="593"/>
      <c r="B49" s="318" t="s">
        <v>168</v>
      </c>
      <c r="C49" s="350">
        <v>30.17</v>
      </c>
      <c r="D49" s="322">
        <f>34.4-1.96</f>
        <v>32.44</v>
      </c>
      <c r="E49" s="29">
        <v>1</v>
      </c>
      <c r="F49" s="29"/>
      <c r="G49" s="349">
        <f t="shared" ref="G49:G86" si="20">C49*E49</f>
        <v>30.17</v>
      </c>
      <c r="H49" s="349">
        <f t="shared" ref="H49:H86" si="21">G49</f>
        <v>30.17</v>
      </c>
      <c r="I49" s="769"/>
      <c r="J49" s="769"/>
      <c r="K49" s="769"/>
      <c r="L49" s="769"/>
      <c r="M49" s="769"/>
      <c r="N49" s="769"/>
      <c r="O49" s="30"/>
      <c r="P49" s="30"/>
      <c r="Q49" s="30"/>
      <c r="R49" s="74"/>
      <c r="S49" s="31">
        <f t="shared" ref="S49" si="22">H49</f>
        <v>30.17</v>
      </c>
      <c r="T49" s="31"/>
      <c r="U49" s="31">
        <f t="shared" ref="U49" si="23">D49*E49</f>
        <v>32.44</v>
      </c>
      <c r="V49" s="74"/>
      <c r="W49" s="105"/>
    </row>
    <row r="50" spans="1:23" ht="14.4" x14ac:dyDescent="0.25">
      <c r="A50" s="150"/>
      <c r="B50" s="274" t="s">
        <v>229</v>
      </c>
      <c r="C50" s="73">
        <v>1.5</v>
      </c>
      <c r="D50" s="131">
        <v>7</v>
      </c>
      <c r="E50" s="33">
        <v>1</v>
      </c>
      <c r="F50" s="33"/>
      <c r="G50" s="268">
        <f t="shared" si="20"/>
        <v>1.5</v>
      </c>
      <c r="H50" s="268">
        <f t="shared" si="21"/>
        <v>1.5</v>
      </c>
      <c r="I50" s="268"/>
      <c r="J50" s="268"/>
      <c r="K50" s="268"/>
      <c r="L50" s="268"/>
      <c r="M50" s="268"/>
      <c r="N50" s="268"/>
      <c r="O50" s="268"/>
      <c r="P50" s="156">
        <f>C50*E50</f>
        <v>1.5</v>
      </c>
      <c r="Q50" s="268"/>
      <c r="R50" s="32"/>
      <c r="S50" s="32"/>
      <c r="T50" s="32"/>
      <c r="U50" s="32"/>
      <c r="V50" s="32"/>
      <c r="W50" s="105"/>
    </row>
    <row r="51" spans="1:23" ht="14.4" x14ac:dyDescent="0.25">
      <c r="A51" s="150"/>
      <c r="B51" s="157" t="s">
        <v>168</v>
      </c>
      <c r="C51" s="73">
        <v>9.8000000000000007</v>
      </c>
      <c r="D51" s="131">
        <v>13.89</v>
      </c>
      <c r="E51" s="33">
        <v>1</v>
      </c>
      <c r="F51" s="33"/>
      <c r="G51" s="268">
        <f t="shared" si="20"/>
        <v>9.8000000000000007</v>
      </c>
      <c r="H51" s="268">
        <f t="shared" si="21"/>
        <v>9.8000000000000007</v>
      </c>
      <c r="I51" s="268"/>
      <c r="J51" s="268"/>
      <c r="K51" s="268"/>
      <c r="L51" s="268"/>
      <c r="M51" s="268"/>
      <c r="N51" s="268"/>
      <c r="O51" s="268"/>
      <c r="P51" s="268"/>
      <c r="Q51" s="268"/>
      <c r="R51" s="32"/>
      <c r="S51" s="31">
        <f t="shared" ref="S51" si="24">H51</f>
        <v>9.8000000000000007</v>
      </c>
      <c r="T51" s="31"/>
      <c r="U51" s="31">
        <f t="shared" ref="U51" si="25">D51*E51</f>
        <v>13.89</v>
      </c>
      <c r="V51" s="32"/>
      <c r="W51" s="105"/>
    </row>
    <row r="52" spans="1:23" ht="14.4" x14ac:dyDescent="0.25">
      <c r="A52" s="150"/>
      <c r="B52" s="157" t="s">
        <v>158</v>
      </c>
      <c r="C52" s="73">
        <v>2.4</v>
      </c>
      <c r="D52" s="131">
        <v>6.4</v>
      </c>
      <c r="E52" s="33">
        <v>1</v>
      </c>
      <c r="F52" s="33"/>
      <c r="G52" s="268">
        <f t="shared" si="20"/>
        <v>2.4</v>
      </c>
      <c r="H52" s="268">
        <f t="shared" si="21"/>
        <v>2.4</v>
      </c>
      <c r="I52" s="268"/>
      <c r="J52" s="268"/>
      <c r="K52" s="268"/>
      <c r="L52" s="268"/>
      <c r="M52" s="268"/>
      <c r="N52" s="268"/>
      <c r="O52" s="268"/>
      <c r="P52" s="268"/>
      <c r="Q52" s="156">
        <f>H52</f>
        <v>2.4</v>
      </c>
      <c r="R52" s="32"/>
      <c r="S52" s="32"/>
      <c r="T52" s="32"/>
      <c r="U52" s="32"/>
      <c r="V52" s="32"/>
      <c r="W52" s="105"/>
    </row>
    <row r="53" spans="1:23" ht="14.4" x14ac:dyDescent="0.25">
      <c r="A53" s="150"/>
      <c r="B53" s="317" t="s">
        <v>346</v>
      </c>
      <c r="C53" s="222">
        <v>24.28</v>
      </c>
      <c r="D53" s="131">
        <v>30.37</v>
      </c>
      <c r="E53" s="33">
        <v>1</v>
      </c>
      <c r="F53" s="33"/>
      <c r="G53" s="268">
        <f t="shared" si="20"/>
        <v>24.28</v>
      </c>
      <c r="H53" s="268">
        <f t="shared" si="21"/>
        <v>24.28</v>
      </c>
      <c r="I53" s="268"/>
      <c r="J53" s="268"/>
      <c r="K53" s="268"/>
      <c r="L53" s="268"/>
      <c r="M53" s="268"/>
      <c r="N53" s="268"/>
      <c r="O53" s="268"/>
      <c r="P53" s="268">
        <f>H53</f>
        <v>24.28</v>
      </c>
      <c r="Q53" s="268"/>
      <c r="R53" s="32"/>
      <c r="S53" s="32"/>
      <c r="T53" s="32"/>
      <c r="U53" s="32"/>
      <c r="V53" s="32"/>
      <c r="W53" s="105"/>
    </row>
    <row r="54" spans="1:23" ht="14.4" x14ac:dyDescent="0.25">
      <c r="A54" s="150"/>
      <c r="B54" s="262" t="s">
        <v>347</v>
      </c>
      <c r="C54" s="73">
        <v>6.78</v>
      </c>
      <c r="D54" s="131">
        <v>10.52</v>
      </c>
      <c r="E54" s="33">
        <v>1</v>
      </c>
      <c r="F54" s="33"/>
      <c r="G54" s="268">
        <f t="shared" si="20"/>
        <v>6.78</v>
      </c>
      <c r="H54" s="268">
        <f t="shared" si="21"/>
        <v>6.78</v>
      </c>
      <c r="I54" s="268"/>
      <c r="J54" s="268"/>
      <c r="K54" s="268"/>
      <c r="L54" s="268"/>
      <c r="M54" s="268"/>
      <c r="N54" s="268"/>
      <c r="O54" s="268"/>
      <c r="P54" s="268"/>
      <c r="Q54" s="268"/>
      <c r="R54" s="32"/>
      <c r="S54" s="32">
        <f>H54</f>
        <v>6.78</v>
      </c>
      <c r="T54" s="32"/>
      <c r="U54" s="31">
        <f t="shared" ref="U54" si="26">D54*E54</f>
        <v>10.52</v>
      </c>
      <c r="V54" s="32"/>
      <c r="W54" s="105"/>
    </row>
    <row r="55" spans="1:23" ht="14.4" x14ac:dyDescent="0.25">
      <c r="A55" s="150"/>
      <c r="B55" s="262" t="s">
        <v>158</v>
      </c>
      <c r="C55" s="73">
        <v>2.62</v>
      </c>
      <c r="D55" s="131">
        <v>6.5</v>
      </c>
      <c r="E55" s="33">
        <v>1</v>
      </c>
      <c r="F55" s="33"/>
      <c r="G55" s="268">
        <f t="shared" si="20"/>
        <v>2.62</v>
      </c>
      <c r="H55" s="268">
        <f t="shared" si="21"/>
        <v>2.62</v>
      </c>
      <c r="I55" s="268"/>
      <c r="J55" s="268"/>
      <c r="K55" s="268"/>
      <c r="L55" s="268"/>
      <c r="M55" s="268"/>
      <c r="N55" s="268"/>
      <c r="O55" s="268"/>
      <c r="P55" s="268"/>
      <c r="Q55" s="156">
        <f>H55</f>
        <v>2.62</v>
      </c>
      <c r="R55" s="32"/>
      <c r="S55" s="32"/>
      <c r="T55" s="32"/>
      <c r="U55" s="32"/>
      <c r="V55" s="32"/>
      <c r="W55" s="105"/>
    </row>
    <row r="56" spans="1:23" ht="14.4" x14ac:dyDescent="0.25">
      <c r="A56" s="150"/>
      <c r="B56" s="317" t="s">
        <v>348</v>
      </c>
      <c r="C56" s="222">
        <v>12.43</v>
      </c>
      <c r="D56" s="131">
        <v>15.04</v>
      </c>
      <c r="E56" s="33">
        <v>1</v>
      </c>
      <c r="F56" s="33"/>
      <c r="G56" s="268">
        <f t="shared" si="20"/>
        <v>12.43</v>
      </c>
      <c r="H56" s="268">
        <f t="shared" si="21"/>
        <v>12.43</v>
      </c>
      <c r="I56" s="268"/>
      <c r="J56" s="268"/>
      <c r="K56" s="268"/>
      <c r="L56" s="268"/>
      <c r="M56" s="268"/>
      <c r="N56" s="268"/>
      <c r="O56" s="268"/>
      <c r="P56" s="268"/>
      <c r="Q56" s="268"/>
      <c r="R56" s="32"/>
      <c r="S56" s="32">
        <f>H56</f>
        <v>12.43</v>
      </c>
      <c r="T56" s="32"/>
      <c r="U56" s="31">
        <f t="shared" ref="U56:U57" si="27">D56*E56</f>
        <v>15.04</v>
      </c>
      <c r="V56" s="32"/>
      <c r="W56" s="105"/>
    </row>
    <row r="57" spans="1:23" ht="14.4" x14ac:dyDescent="0.25">
      <c r="A57" s="150"/>
      <c r="B57" s="262" t="s">
        <v>185</v>
      </c>
      <c r="C57" s="73">
        <v>6.12</v>
      </c>
      <c r="D57" s="131">
        <f>10.12-2</f>
        <v>8.1199999999999992</v>
      </c>
      <c r="E57" s="33">
        <v>1</v>
      </c>
      <c r="F57" s="33"/>
      <c r="G57" s="268">
        <f t="shared" si="20"/>
        <v>6.12</v>
      </c>
      <c r="H57" s="268">
        <f t="shared" si="21"/>
        <v>6.12</v>
      </c>
      <c r="I57" s="268"/>
      <c r="J57" s="268"/>
      <c r="K57" s="268"/>
      <c r="L57" s="268"/>
      <c r="M57" s="268"/>
      <c r="N57" s="268"/>
      <c r="O57" s="268"/>
      <c r="P57" s="268"/>
      <c r="Q57" s="268"/>
      <c r="R57" s="32"/>
      <c r="S57" s="32">
        <f>H57</f>
        <v>6.12</v>
      </c>
      <c r="T57" s="32"/>
      <c r="U57" s="31">
        <f t="shared" si="27"/>
        <v>8.1199999999999992</v>
      </c>
      <c r="V57" s="32"/>
      <c r="W57" s="105"/>
    </row>
    <row r="58" spans="1:23" ht="14.4" x14ac:dyDescent="0.25">
      <c r="A58" s="150"/>
      <c r="B58" s="317" t="s">
        <v>168</v>
      </c>
      <c r="C58" s="222">
        <v>18.46</v>
      </c>
      <c r="D58" s="131">
        <f>27.69-2</f>
        <v>25.69</v>
      </c>
      <c r="E58" s="33">
        <v>1</v>
      </c>
      <c r="F58" s="33"/>
      <c r="G58" s="268">
        <f t="shared" si="20"/>
        <v>18.46</v>
      </c>
      <c r="H58" s="268">
        <f t="shared" si="21"/>
        <v>18.46</v>
      </c>
      <c r="I58" s="268"/>
      <c r="J58" s="268"/>
      <c r="K58" s="268"/>
      <c r="L58" s="268"/>
      <c r="M58" s="268"/>
      <c r="N58" s="268"/>
      <c r="O58" s="268"/>
      <c r="P58" s="268"/>
      <c r="Q58" s="268"/>
      <c r="R58" s="32"/>
      <c r="S58" s="31">
        <f t="shared" ref="S58" si="28">H58</f>
        <v>18.46</v>
      </c>
      <c r="T58" s="31"/>
      <c r="U58" s="31">
        <f t="shared" ref="U58:U64" si="29">D58*E58</f>
        <v>25.69</v>
      </c>
      <c r="V58" s="32"/>
      <c r="W58" s="105"/>
    </row>
    <row r="59" spans="1:23" ht="14.4" x14ac:dyDescent="0.25">
      <c r="A59" s="150"/>
      <c r="B59" s="262" t="s">
        <v>349</v>
      </c>
      <c r="C59" s="73">
        <v>17.63</v>
      </c>
      <c r="D59" s="131">
        <v>17.940000000000001</v>
      </c>
      <c r="E59" s="33">
        <v>1</v>
      </c>
      <c r="F59" s="33"/>
      <c r="G59" s="268">
        <f t="shared" si="20"/>
        <v>17.63</v>
      </c>
      <c r="H59" s="268">
        <f t="shared" si="21"/>
        <v>17.63</v>
      </c>
      <c r="I59" s="268"/>
      <c r="J59" s="268"/>
      <c r="K59" s="268"/>
      <c r="L59" s="268"/>
      <c r="M59" s="268"/>
      <c r="N59" s="268"/>
      <c r="O59" s="268"/>
      <c r="P59" s="268"/>
      <c r="Q59" s="268"/>
      <c r="R59" s="32"/>
      <c r="S59" s="32">
        <f t="shared" ref="S59:S64" si="30">H59</f>
        <v>17.63</v>
      </c>
      <c r="T59" s="32"/>
      <c r="U59" s="31">
        <f t="shared" si="29"/>
        <v>17.940000000000001</v>
      </c>
      <c r="V59" s="32"/>
      <c r="W59" s="105"/>
    </row>
    <row r="60" spans="1:23" ht="14.4" x14ac:dyDescent="0.25">
      <c r="A60" s="150"/>
      <c r="B60" s="262" t="s">
        <v>350</v>
      </c>
      <c r="C60" s="73">
        <v>20.65</v>
      </c>
      <c r="D60" s="131">
        <v>18.239999999999998</v>
      </c>
      <c r="E60" s="33">
        <v>1</v>
      </c>
      <c r="F60" s="33"/>
      <c r="G60" s="268">
        <f t="shared" si="20"/>
        <v>20.65</v>
      </c>
      <c r="H60" s="268">
        <f t="shared" si="21"/>
        <v>20.65</v>
      </c>
      <c r="I60" s="268"/>
      <c r="J60" s="268"/>
      <c r="K60" s="268"/>
      <c r="L60" s="268"/>
      <c r="M60" s="268"/>
      <c r="N60" s="268"/>
      <c r="O60" s="268"/>
      <c r="P60" s="268"/>
      <c r="Q60" s="268"/>
      <c r="R60" s="32"/>
      <c r="S60" s="32">
        <f t="shared" si="30"/>
        <v>20.65</v>
      </c>
      <c r="T60" s="32"/>
      <c r="U60" s="31">
        <f t="shared" si="29"/>
        <v>18.239999999999998</v>
      </c>
      <c r="V60" s="32"/>
      <c r="W60" s="105"/>
    </row>
    <row r="61" spans="1:23" ht="14.4" x14ac:dyDescent="0.25">
      <c r="A61" s="150"/>
      <c r="B61" s="317" t="s">
        <v>162</v>
      </c>
      <c r="C61" s="222">
        <v>24.98</v>
      </c>
      <c r="D61" s="131">
        <v>20.69</v>
      </c>
      <c r="E61" s="33">
        <v>1</v>
      </c>
      <c r="F61" s="33"/>
      <c r="G61" s="268">
        <f t="shared" si="20"/>
        <v>24.98</v>
      </c>
      <c r="H61" s="268">
        <f t="shared" si="21"/>
        <v>24.98</v>
      </c>
      <c r="I61" s="268"/>
      <c r="J61" s="268"/>
      <c r="K61" s="268"/>
      <c r="L61" s="268"/>
      <c r="M61" s="268"/>
      <c r="N61" s="268"/>
      <c r="O61" s="268"/>
      <c r="P61" s="268"/>
      <c r="Q61" s="268"/>
      <c r="R61" s="32"/>
      <c r="S61" s="32">
        <f t="shared" si="30"/>
        <v>24.98</v>
      </c>
      <c r="T61" s="32"/>
      <c r="U61" s="31">
        <f t="shared" si="29"/>
        <v>20.69</v>
      </c>
      <c r="V61" s="32"/>
      <c r="W61" s="105"/>
    </row>
    <row r="62" spans="1:23" ht="14.4" x14ac:dyDescent="0.25">
      <c r="A62" s="150"/>
      <c r="B62" s="317" t="s">
        <v>351</v>
      </c>
      <c r="C62" s="222">
        <v>34.68</v>
      </c>
      <c r="D62" s="131">
        <v>26.79</v>
      </c>
      <c r="E62" s="33">
        <v>1</v>
      </c>
      <c r="F62" s="33"/>
      <c r="G62" s="268">
        <f t="shared" si="20"/>
        <v>34.68</v>
      </c>
      <c r="H62" s="268">
        <f t="shared" si="21"/>
        <v>34.68</v>
      </c>
      <c r="I62" s="268"/>
      <c r="J62" s="268"/>
      <c r="K62" s="268"/>
      <c r="L62" s="268"/>
      <c r="M62" s="268"/>
      <c r="N62" s="268"/>
      <c r="O62" s="268"/>
      <c r="P62" s="268"/>
      <c r="Q62" s="268"/>
      <c r="R62" s="32"/>
      <c r="S62" s="32">
        <f t="shared" si="30"/>
        <v>34.68</v>
      </c>
      <c r="T62" s="32"/>
      <c r="U62" s="31">
        <f t="shared" si="29"/>
        <v>26.79</v>
      </c>
      <c r="V62" s="32"/>
      <c r="W62" s="105"/>
    </row>
    <row r="63" spans="1:23" ht="14.4" x14ac:dyDescent="0.25">
      <c r="A63" s="150"/>
      <c r="B63" s="262" t="s">
        <v>352</v>
      </c>
      <c r="C63" s="73">
        <v>5.53</v>
      </c>
      <c r="D63" s="131">
        <v>9.6199999999999992</v>
      </c>
      <c r="E63" s="33">
        <v>1</v>
      </c>
      <c r="F63" s="33"/>
      <c r="G63" s="268">
        <f t="shared" si="20"/>
        <v>5.53</v>
      </c>
      <c r="H63" s="268">
        <f t="shared" si="21"/>
        <v>5.53</v>
      </c>
      <c r="I63" s="268"/>
      <c r="J63" s="268"/>
      <c r="K63" s="268"/>
      <c r="L63" s="268"/>
      <c r="M63" s="268"/>
      <c r="N63" s="268"/>
      <c r="O63" s="268"/>
      <c r="P63" s="268"/>
      <c r="Q63" s="268"/>
      <c r="R63" s="32"/>
      <c r="S63" s="32">
        <f t="shared" si="30"/>
        <v>5.53</v>
      </c>
      <c r="T63" s="32"/>
      <c r="U63" s="31">
        <f t="shared" si="29"/>
        <v>9.6199999999999992</v>
      </c>
      <c r="V63" s="32"/>
      <c r="W63" s="105"/>
    </row>
    <row r="64" spans="1:23" ht="28.8" x14ac:dyDescent="0.25">
      <c r="A64" s="150"/>
      <c r="B64" s="319" t="s">
        <v>353</v>
      </c>
      <c r="C64" s="222">
        <v>12.22</v>
      </c>
      <c r="D64" s="131">
        <v>14.22</v>
      </c>
      <c r="E64" s="33">
        <v>1</v>
      </c>
      <c r="F64" s="33"/>
      <c r="G64" s="268">
        <f t="shared" si="20"/>
        <v>12.22</v>
      </c>
      <c r="H64" s="268">
        <f t="shared" si="21"/>
        <v>12.22</v>
      </c>
      <c r="I64" s="268"/>
      <c r="J64" s="268"/>
      <c r="K64" s="268"/>
      <c r="L64" s="268"/>
      <c r="M64" s="268"/>
      <c r="N64" s="268"/>
      <c r="O64" s="268"/>
      <c r="P64" s="268"/>
      <c r="Q64" s="268"/>
      <c r="R64" s="32"/>
      <c r="S64" s="32">
        <f t="shared" si="30"/>
        <v>12.22</v>
      </c>
      <c r="T64" s="32"/>
      <c r="U64" s="31">
        <f t="shared" si="29"/>
        <v>14.22</v>
      </c>
      <c r="V64" s="32"/>
      <c r="W64" s="105"/>
    </row>
    <row r="65" spans="1:23" ht="14.4" x14ac:dyDescent="0.25">
      <c r="A65" s="150"/>
      <c r="B65" s="262" t="s">
        <v>158</v>
      </c>
      <c r="C65" s="73">
        <v>2.23</v>
      </c>
      <c r="D65" s="131">
        <v>6.08</v>
      </c>
      <c r="E65" s="33">
        <v>1</v>
      </c>
      <c r="F65" s="33"/>
      <c r="G65" s="268">
        <f t="shared" si="20"/>
        <v>2.23</v>
      </c>
      <c r="H65" s="268">
        <f t="shared" si="21"/>
        <v>2.23</v>
      </c>
      <c r="I65" s="268"/>
      <c r="J65" s="268"/>
      <c r="K65" s="268"/>
      <c r="L65" s="268"/>
      <c r="M65" s="268"/>
      <c r="N65" s="268"/>
      <c r="O65" s="268"/>
      <c r="P65" s="268"/>
      <c r="Q65" s="156">
        <f>H65</f>
        <v>2.23</v>
      </c>
      <c r="R65" s="32"/>
      <c r="S65" s="32"/>
      <c r="T65" s="32"/>
      <c r="U65" s="32"/>
      <c r="V65" s="32"/>
      <c r="W65" s="105"/>
    </row>
    <row r="66" spans="1:23" ht="14.4" x14ac:dyDescent="0.25">
      <c r="A66" s="150"/>
      <c r="B66" s="317" t="s">
        <v>168</v>
      </c>
      <c r="C66" s="222">
        <v>7.75</v>
      </c>
      <c r="D66" s="131">
        <f>13.81-1.41</f>
        <v>12.4</v>
      </c>
      <c r="E66" s="33">
        <v>1</v>
      </c>
      <c r="F66" s="33"/>
      <c r="G66" s="268">
        <f t="shared" si="20"/>
        <v>7.75</v>
      </c>
      <c r="H66" s="268">
        <f t="shared" si="21"/>
        <v>7.75</v>
      </c>
      <c r="I66" s="268"/>
      <c r="J66" s="268"/>
      <c r="K66" s="268"/>
      <c r="L66" s="268"/>
      <c r="M66" s="268"/>
      <c r="N66" s="268"/>
      <c r="O66" s="268"/>
      <c r="P66" s="268"/>
      <c r="Q66" s="268"/>
      <c r="R66" s="32"/>
      <c r="S66" s="31">
        <f t="shared" ref="S66" si="31">H66</f>
        <v>7.75</v>
      </c>
      <c r="T66" s="31"/>
      <c r="U66" s="31">
        <f t="shared" ref="U66:U67" si="32">D66*E66</f>
        <v>12.4</v>
      </c>
      <c r="V66" s="32"/>
      <c r="W66" s="105"/>
    </row>
    <row r="67" spans="1:23" ht="14.4" x14ac:dyDescent="0.25">
      <c r="A67" s="150"/>
      <c r="B67" s="317" t="s">
        <v>244</v>
      </c>
      <c r="C67" s="222">
        <v>13.98</v>
      </c>
      <c r="D67" s="131">
        <v>16.48</v>
      </c>
      <c r="E67" s="33">
        <v>1</v>
      </c>
      <c r="F67" s="33"/>
      <c r="G67" s="268">
        <f t="shared" si="20"/>
        <v>13.98</v>
      </c>
      <c r="H67" s="268">
        <f t="shared" si="21"/>
        <v>13.98</v>
      </c>
      <c r="I67" s="268"/>
      <c r="J67" s="268"/>
      <c r="K67" s="268"/>
      <c r="L67" s="268"/>
      <c r="M67" s="268"/>
      <c r="N67" s="268"/>
      <c r="O67" s="268"/>
      <c r="P67" s="268"/>
      <c r="Q67" s="268"/>
      <c r="R67" s="32"/>
      <c r="S67" s="32">
        <f>H67</f>
        <v>13.98</v>
      </c>
      <c r="T67" s="32"/>
      <c r="U67" s="31">
        <f t="shared" si="32"/>
        <v>16.48</v>
      </c>
      <c r="V67" s="32"/>
      <c r="W67" s="105"/>
    </row>
    <row r="68" spans="1:23" ht="14.4" x14ac:dyDescent="0.25">
      <c r="A68" s="150"/>
      <c r="B68" s="262" t="s">
        <v>303</v>
      </c>
      <c r="C68" s="73">
        <v>2.14</v>
      </c>
      <c r="D68" s="131">
        <v>5.98</v>
      </c>
      <c r="E68" s="33">
        <v>2</v>
      </c>
      <c r="F68" s="33"/>
      <c r="G68" s="268">
        <f t="shared" si="20"/>
        <v>4.28</v>
      </c>
      <c r="H68" s="268">
        <f t="shared" si="21"/>
        <v>4.28</v>
      </c>
      <c r="I68" s="268"/>
      <c r="J68" s="268"/>
      <c r="K68" s="268"/>
      <c r="L68" s="268"/>
      <c r="M68" s="268"/>
      <c r="N68" s="268"/>
      <c r="O68" s="268"/>
      <c r="P68" s="268"/>
      <c r="Q68" s="268"/>
      <c r="R68" s="32">
        <f>H68</f>
        <v>4.28</v>
      </c>
      <c r="S68" s="32"/>
      <c r="T68" s="32"/>
      <c r="U68" s="32"/>
      <c r="V68" s="31">
        <f t="shared" ref="V68" si="33">D68*E68</f>
        <v>11.96</v>
      </c>
      <c r="W68" s="105"/>
    </row>
    <row r="69" spans="1:23" ht="14.4" x14ac:dyDescent="0.25">
      <c r="A69" s="150"/>
      <c r="B69" s="262" t="s">
        <v>177</v>
      </c>
      <c r="C69" s="73">
        <v>4.3</v>
      </c>
      <c r="D69" s="131">
        <v>8.4600000000000009</v>
      </c>
      <c r="E69" s="33">
        <v>1</v>
      </c>
      <c r="F69" s="33"/>
      <c r="G69" s="268">
        <f t="shared" si="20"/>
        <v>4.3</v>
      </c>
      <c r="H69" s="268">
        <f t="shared" si="21"/>
        <v>4.3</v>
      </c>
      <c r="I69" s="268"/>
      <c r="J69" s="268"/>
      <c r="K69" s="268"/>
      <c r="L69" s="268"/>
      <c r="M69" s="268"/>
      <c r="N69" s="268"/>
      <c r="O69" s="268"/>
      <c r="P69" s="268">
        <f>H69</f>
        <v>4.3</v>
      </c>
      <c r="Q69" s="268"/>
      <c r="R69" s="32"/>
      <c r="S69" s="32"/>
      <c r="T69" s="32"/>
      <c r="U69" s="32"/>
      <c r="V69" s="32"/>
      <c r="W69" s="105"/>
    </row>
    <row r="70" spans="1:23" ht="14.4" x14ac:dyDescent="0.25">
      <c r="A70" s="150"/>
      <c r="B70" s="262" t="s">
        <v>354</v>
      </c>
      <c r="C70" s="73">
        <v>11.76</v>
      </c>
      <c r="D70" s="131">
        <v>13.75</v>
      </c>
      <c r="E70" s="33">
        <v>1</v>
      </c>
      <c r="F70" s="33"/>
      <c r="G70" s="268">
        <f t="shared" si="20"/>
        <v>11.76</v>
      </c>
      <c r="H70" s="268">
        <f t="shared" si="21"/>
        <v>11.76</v>
      </c>
      <c r="I70" s="268"/>
      <c r="J70" s="268"/>
      <c r="K70" s="268"/>
      <c r="L70" s="268"/>
      <c r="M70" s="268"/>
      <c r="N70" s="268"/>
      <c r="O70" s="268"/>
      <c r="P70" s="268"/>
      <c r="Q70" s="268">
        <f>H70</f>
        <v>11.76</v>
      </c>
      <c r="R70" s="32"/>
      <c r="S70" s="32"/>
      <c r="T70" s="32"/>
      <c r="U70" s="32"/>
      <c r="V70" s="32"/>
      <c r="W70" s="105"/>
    </row>
    <row r="71" spans="1:23" ht="14.4" x14ac:dyDescent="0.25">
      <c r="A71" s="150"/>
      <c r="B71" s="262" t="s">
        <v>355</v>
      </c>
      <c r="C71" s="73">
        <v>12.76</v>
      </c>
      <c r="D71" s="131">
        <v>14.38</v>
      </c>
      <c r="E71" s="33">
        <v>1</v>
      </c>
      <c r="F71" s="33"/>
      <c r="G71" s="268">
        <f t="shared" si="20"/>
        <v>12.76</v>
      </c>
      <c r="H71" s="268">
        <f t="shared" si="21"/>
        <v>12.76</v>
      </c>
      <c r="I71" s="268"/>
      <c r="J71" s="268"/>
      <c r="K71" s="268"/>
      <c r="L71" s="268"/>
      <c r="M71" s="268"/>
      <c r="N71" s="268"/>
      <c r="O71" s="268"/>
      <c r="P71" s="268"/>
      <c r="Q71" s="268">
        <f>H71</f>
        <v>12.76</v>
      </c>
      <c r="R71" s="32"/>
      <c r="S71" s="32"/>
      <c r="T71" s="32"/>
      <c r="U71" s="32"/>
      <c r="V71" s="32"/>
      <c r="W71" s="105"/>
    </row>
    <row r="72" spans="1:23" ht="14.4" x14ac:dyDescent="0.25">
      <c r="A72" s="150"/>
      <c r="B72" s="262" t="s">
        <v>158</v>
      </c>
      <c r="C72" s="73">
        <v>2.8</v>
      </c>
      <c r="D72" s="131">
        <v>6.8</v>
      </c>
      <c r="E72" s="33">
        <v>1</v>
      </c>
      <c r="F72" s="33"/>
      <c r="G72" s="268">
        <f t="shared" si="20"/>
        <v>2.8</v>
      </c>
      <c r="H72" s="268">
        <f t="shared" si="21"/>
        <v>2.8</v>
      </c>
      <c r="I72" s="268"/>
      <c r="J72" s="268"/>
      <c r="K72" s="268"/>
      <c r="L72" s="268"/>
      <c r="M72" s="268"/>
      <c r="N72" s="268"/>
      <c r="O72" s="268"/>
      <c r="P72" s="268"/>
      <c r="Q72" s="156">
        <f>H72</f>
        <v>2.8</v>
      </c>
      <c r="R72" s="32"/>
      <c r="S72" s="32"/>
      <c r="T72" s="32"/>
      <c r="U72" s="32"/>
      <c r="V72" s="32"/>
      <c r="W72" s="105"/>
    </row>
    <row r="73" spans="1:23" ht="14.4" x14ac:dyDescent="0.25">
      <c r="A73" s="150"/>
      <c r="B73" s="317" t="s">
        <v>611</v>
      </c>
      <c r="C73" s="222">
        <v>50.63</v>
      </c>
      <c r="D73" s="131">
        <f>31.8-1.8</f>
        <v>30</v>
      </c>
      <c r="E73" s="33">
        <v>1</v>
      </c>
      <c r="F73" s="33"/>
      <c r="G73" s="268">
        <f t="shared" si="20"/>
        <v>50.63</v>
      </c>
      <c r="H73" s="268">
        <f t="shared" si="21"/>
        <v>50.63</v>
      </c>
      <c r="I73" s="268"/>
      <c r="J73" s="268"/>
      <c r="K73" s="268"/>
      <c r="L73" s="268"/>
      <c r="M73" s="268"/>
      <c r="N73" s="268"/>
      <c r="O73" s="268"/>
      <c r="P73" s="268"/>
      <c r="Q73" s="156">
        <f>H73</f>
        <v>50.63</v>
      </c>
      <c r="R73" s="32"/>
      <c r="S73" s="32"/>
      <c r="T73" s="32"/>
      <c r="U73" s="32"/>
      <c r="V73" s="32"/>
      <c r="W73" s="105"/>
    </row>
    <row r="74" spans="1:23" ht="14.4" x14ac:dyDescent="0.25">
      <c r="A74" s="150"/>
      <c r="B74" s="262" t="s">
        <v>356</v>
      </c>
      <c r="C74" s="73">
        <v>4.84</v>
      </c>
      <c r="D74" s="131">
        <v>8.9700000000000006</v>
      </c>
      <c r="E74" s="33">
        <v>1</v>
      </c>
      <c r="F74" s="33"/>
      <c r="G74" s="268">
        <f t="shared" si="20"/>
        <v>4.84</v>
      </c>
      <c r="H74" s="268">
        <f t="shared" si="21"/>
        <v>4.84</v>
      </c>
      <c r="I74" s="268"/>
      <c r="J74" s="268"/>
      <c r="K74" s="268"/>
      <c r="L74" s="268"/>
      <c r="M74" s="268"/>
      <c r="N74" s="268"/>
      <c r="O74" s="268"/>
      <c r="P74" s="268"/>
      <c r="Q74" s="156">
        <f t="shared" ref="Q74:Q75" si="34">H74</f>
        <v>4.84</v>
      </c>
      <c r="R74" s="32"/>
      <c r="S74" s="32"/>
      <c r="T74" s="32"/>
      <c r="U74" s="32"/>
      <c r="V74" s="32"/>
      <c r="W74" s="105"/>
    </row>
    <row r="75" spans="1:23" ht="14.4" x14ac:dyDescent="0.25">
      <c r="A75" s="150"/>
      <c r="B75" s="262" t="s">
        <v>357</v>
      </c>
      <c r="C75" s="73">
        <v>4.84</v>
      </c>
      <c r="D75" s="131">
        <v>8.9700000000000006</v>
      </c>
      <c r="E75" s="33">
        <v>1</v>
      </c>
      <c r="F75" s="33"/>
      <c r="G75" s="268">
        <f t="shared" si="20"/>
        <v>4.84</v>
      </c>
      <c r="H75" s="268">
        <f t="shared" si="21"/>
        <v>4.84</v>
      </c>
      <c r="I75" s="268"/>
      <c r="J75" s="268"/>
      <c r="K75" s="268"/>
      <c r="L75" s="268"/>
      <c r="M75" s="268"/>
      <c r="N75" s="268"/>
      <c r="O75" s="268"/>
      <c r="P75" s="268"/>
      <c r="Q75" s="156">
        <f t="shared" si="34"/>
        <v>4.84</v>
      </c>
      <c r="R75" s="32"/>
      <c r="S75" s="32"/>
      <c r="T75" s="32"/>
      <c r="U75" s="32"/>
      <c r="V75" s="32"/>
      <c r="W75" s="105"/>
    </row>
    <row r="76" spans="1:23" ht="14.4" x14ac:dyDescent="0.25">
      <c r="A76" s="150"/>
      <c r="B76" s="262" t="s">
        <v>358</v>
      </c>
      <c r="C76" s="73">
        <v>3.76</v>
      </c>
      <c r="D76" s="131">
        <v>8.17</v>
      </c>
      <c r="E76" s="33">
        <v>1</v>
      </c>
      <c r="F76" s="33"/>
      <c r="G76" s="268">
        <f t="shared" si="20"/>
        <v>3.76</v>
      </c>
      <c r="H76" s="268">
        <f t="shared" si="21"/>
        <v>3.76</v>
      </c>
      <c r="I76" s="268"/>
      <c r="J76" s="268"/>
      <c r="K76" s="268"/>
      <c r="L76" s="268"/>
      <c r="M76" s="268"/>
      <c r="N76" s="268"/>
      <c r="O76" s="268"/>
      <c r="P76" s="268"/>
      <c r="Q76" s="268"/>
      <c r="R76" s="32">
        <f>H76</f>
        <v>3.76</v>
      </c>
      <c r="S76" s="32"/>
      <c r="T76" s="32"/>
      <c r="U76" s="32"/>
      <c r="V76" s="31">
        <f t="shared" ref="V76" si="35">D76*E76</f>
        <v>8.17</v>
      </c>
      <c r="W76" s="105"/>
    </row>
    <row r="77" spans="1:23" ht="14.4" x14ac:dyDescent="0.25">
      <c r="A77" s="150"/>
      <c r="B77" s="262" t="s">
        <v>359</v>
      </c>
      <c r="C77" s="73">
        <v>2.62</v>
      </c>
      <c r="D77" s="131">
        <f>6.59-1.34</f>
        <v>5.25</v>
      </c>
      <c r="E77" s="33">
        <v>1</v>
      </c>
      <c r="F77" s="33"/>
      <c r="G77" s="268">
        <f t="shared" si="20"/>
        <v>2.62</v>
      </c>
      <c r="H77" s="268">
        <f t="shared" si="21"/>
        <v>2.62</v>
      </c>
      <c r="I77" s="268"/>
      <c r="J77" s="268"/>
      <c r="K77" s="268"/>
      <c r="L77" s="268"/>
      <c r="M77" s="268"/>
      <c r="N77" s="268"/>
      <c r="O77" s="268"/>
      <c r="P77" s="268"/>
      <c r="Q77" s="268">
        <f>H77</f>
        <v>2.62</v>
      </c>
      <c r="R77" s="32"/>
      <c r="S77" s="32"/>
      <c r="T77" s="32"/>
      <c r="U77" s="32"/>
      <c r="V77" s="32"/>
      <c r="W77" s="105"/>
    </row>
    <row r="78" spans="1:23" ht="14.4" x14ac:dyDescent="0.25">
      <c r="A78" s="150"/>
      <c r="B78" s="262" t="s">
        <v>360</v>
      </c>
      <c r="C78" s="73">
        <v>2.41</v>
      </c>
      <c r="D78" s="131">
        <v>6.28</v>
      </c>
      <c r="E78" s="33">
        <v>1</v>
      </c>
      <c r="F78" s="33"/>
      <c r="G78" s="268">
        <f t="shared" si="20"/>
        <v>2.41</v>
      </c>
      <c r="H78" s="268">
        <f t="shared" si="21"/>
        <v>2.41</v>
      </c>
      <c r="I78" s="268"/>
      <c r="J78" s="268"/>
      <c r="K78" s="268"/>
      <c r="L78" s="268"/>
      <c r="M78" s="268"/>
      <c r="N78" s="268"/>
      <c r="O78" s="268"/>
      <c r="P78" s="268"/>
      <c r="Q78" s="268">
        <f>H78</f>
        <v>2.41</v>
      </c>
      <c r="R78" s="32"/>
      <c r="S78" s="32"/>
      <c r="T78" s="32"/>
      <c r="U78" s="32"/>
      <c r="V78" s="32"/>
      <c r="W78" s="105"/>
    </row>
    <row r="79" spans="1:23" ht="14.4" x14ac:dyDescent="0.25">
      <c r="A79" s="150"/>
      <c r="B79" s="317" t="s">
        <v>361</v>
      </c>
      <c r="C79" s="222">
        <v>32.42</v>
      </c>
      <c r="D79" s="131">
        <f>28.38-1.41</f>
        <v>26.97</v>
      </c>
      <c r="E79" s="33">
        <v>1</v>
      </c>
      <c r="F79" s="33"/>
      <c r="G79" s="268">
        <f t="shared" si="20"/>
        <v>32.42</v>
      </c>
      <c r="H79" s="268">
        <f t="shared" si="21"/>
        <v>32.42</v>
      </c>
      <c r="I79" s="268"/>
      <c r="J79" s="268"/>
      <c r="K79" s="268"/>
      <c r="L79" s="268"/>
      <c r="M79" s="268"/>
      <c r="N79" s="268"/>
      <c r="O79" s="268"/>
      <c r="P79" s="268"/>
      <c r="Q79" s="268"/>
      <c r="R79" s="32"/>
      <c r="S79" s="32">
        <f>H79</f>
        <v>32.42</v>
      </c>
      <c r="T79" s="32"/>
      <c r="U79" s="31">
        <f t="shared" ref="U79:U81" si="36">D79*E79</f>
        <v>26.97</v>
      </c>
      <c r="V79" s="32"/>
      <c r="W79" s="105"/>
    </row>
    <row r="80" spans="1:23" ht="14.4" x14ac:dyDescent="0.25">
      <c r="A80" s="150"/>
      <c r="B80" s="262" t="s">
        <v>362</v>
      </c>
      <c r="C80" s="73">
        <v>42.54</v>
      </c>
      <c r="D80" s="131">
        <v>29.38</v>
      </c>
      <c r="E80" s="33">
        <v>1</v>
      </c>
      <c r="F80" s="33"/>
      <c r="G80" s="268">
        <f t="shared" si="20"/>
        <v>42.54</v>
      </c>
      <c r="H80" s="268">
        <f t="shared" si="21"/>
        <v>42.54</v>
      </c>
      <c r="I80" s="268"/>
      <c r="J80" s="268"/>
      <c r="K80" s="268"/>
      <c r="L80" s="268"/>
      <c r="M80" s="268"/>
      <c r="N80" s="268"/>
      <c r="O80" s="268"/>
      <c r="P80" s="268"/>
      <c r="Q80" s="268"/>
      <c r="R80" s="32"/>
      <c r="S80" s="32">
        <f t="shared" ref="S80:S81" si="37">H80</f>
        <v>42.54</v>
      </c>
      <c r="T80" s="32"/>
      <c r="U80" s="31">
        <f t="shared" si="36"/>
        <v>29.38</v>
      </c>
      <c r="V80" s="32"/>
      <c r="W80" s="105"/>
    </row>
    <row r="81" spans="1:23" ht="14.4" x14ac:dyDescent="0.25">
      <c r="A81" s="150"/>
      <c r="B81" s="317" t="s">
        <v>363</v>
      </c>
      <c r="C81" s="222">
        <v>4.59</v>
      </c>
      <c r="D81" s="131">
        <v>8.1999999999999993</v>
      </c>
      <c r="E81" s="33">
        <v>1</v>
      </c>
      <c r="F81" s="33"/>
      <c r="G81" s="268">
        <f t="shared" si="20"/>
        <v>4.59</v>
      </c>
      <c r="H81" s="268">
        <f t="shared" si="21"/>
        <v>4.59</v>
      </c>
      <c r="I81" s="268"/>
      <c r="J81" s="268"/>
      <c r="K81" s="268"/>
      <c r="L81" s="268"/>
      <c r="M81" s="268"/>
      <c r="N81" s="268"/>
      <c r="O81" s="268"/>
      <c r="P81" s="268"/>
      <c r="Q81" s="268"/>
      <c r="R81" s="32"/>
      <c r="S81" s="32">
        <f t="shared" si="37"/>
        <v>4.59</v>
      </c>
      <c r="T81" s="32"/>
      <c r="U81" s="31">
        <f t="shared" si="36"/>
        <v>8.1999999999999993</v>
      </c>
      <c r="V81" s="32"/>
      <c r="W81" s="105"/>
    </row>
    <row r="82" spans="1:23" ht="14.4" x14ac:dyDescent="0.25">
      <c r="A82" s="150"/>
      <c r="B82" s="262" t="s">
        <v>366</v>
      </c>
      <c r="C82" s="73">
        <v>2.4</v>
      </c>
      <c r="D82" s="131">
        <v>6.4</v>
      </c>
      <c r="E82" s="33">
        <v>2</v>
      </c>
      <c r="F82" s="33"/>
      <c r="G82" s="268">
        <f t="shared" si="20"/>
        <v>4.8</v>
      </c>
      <c r="H82" s="268">
        <f t="shared" si="21"/>
        <v>4.8</v>
      </c>
      <c r="I82" s="268"/>
      <c r="J82" s="268"/>
      <c r="K82" s="268"/>
      <c r="L82" s="268"/>
      <c r="M82" s="268"/>
      <c r="N82" s="268"/>
      <c r="O82" s="268"/>
      <c r="P82" s="268"/>
      <c r="Q82" s="268">
        <f>H82</f>
        <v>4.8</v>
      </c>
      <c r="R82" s="32"/>
      <c r="S82" s="32"/>
      <c r="T82" s="32"/>
      <c r="U82" s="32"/>
      <c r="V82" s="32"/>
      <c r="W82" s="105"/>
    </row>
    <row r="83" spans="1:23" ht="14.4" x14ac:dyDescent="0.25">
      <c r="A83" s="150"/>
      <c r="B83" s="262" t="s">
        <v>258</v>
      </c>
      <c r="C83" s="73">
        <v>4.58</v>
      </c>
      <c r="D83" s="131">
        <v>8.58</v>
      </c>
      <c r="E83" s="33">
        <v>1</v>
      </c>
      <c r="F83" s="33"/>
      <c r="G83" s="268">
        <f t="shared" si="20"/>
        <v>4.58</v>
      </c>
      <c r="H83" s="268">
        <f t="shared" si="21"/>
        <v>4.58</v>
      </c>
      <c r="I83" s="268"/>
      <c r="J83" s="268"/>
      <c r="K83" s="268"/>
      <c r="L83" s="268"/>
      <c r="M83" s="268"/>
      <c r="N83" s="268"/>
      <c r="O83" s="268"/>
      <c r="P83" s="268"/>
      <c r="Q83" s="268"/>
      <c r="R83" s="32"/>
      <c r="S83" s="32">
        <f>H83</f>
        <v>4.58</v>
      </c>
      <c r="T83" s="32"/>
      <c r="U83" s="31">
        <f t="shared" ref="U83" si="38">D83*E83</f>
        <v>8.58</v>
      </c>
      <c r="V83" s="32"/>
      <c r="W83" s="105"/>
    </row>
    <row r="84" spans="1:23" ht="14.4" x14ac:dyDescent="0.25">
      <c r="A84" s="150"/>
      <c r="B84" s="262" t="s">
        <v>364</v>
      </c>
      <c r="C84" s="73">
        <v>2.99</v>
      </c>
      <c r="D84" s="131">
        <v>6.78</v>
      </c>
      <c r="E84" s="33">
        <v>1</v>
      </c>
      <c r="F84" s="33"/>
      <c r="G84" s="268">
        <f t="shared" si="20"/>
        <v>2.99</v>
      </c>
      <c r="H84" s="268">
        <f t="shared" si="21"/>
        <v>2.99</v>
      </c>
      <c r="I84" s="268"/>
      <c r="J84" s="268"/>
      <c r="K84" s="268"/>
      <c r="L84" s="268"/>
      <c r="M84" s="268"/>
      <c r="N84" s="268"/>
      <c r="O84" s="268"/>
      <c r="P84" s="268"/>
      <c r="Q84" s="268"/>
      <c r="R84" s="32">
        <f>H84</f>
        <v>2.99</v>
      </c>
      <c r="S84" s="32"/>
      <c r="T84" s="32"/>
      <c r="U84" s="32"/>
      <c r="V84" s="31">
        <f t="shared" ref="V84" si="39">D84*E84</f>
        <v>6.78</v>
      </c>
      <c r="W84" s="105"/>
    </row>
    <row r="85" spans="1:23" ht="14.4" x14ac:dyDescent="0.25">
      <c r="A85" s="150"/>
      <c r="B85" s="262" t="s">
        <v>365</v>
      </c>
      <c r="C85" s="73">
        <v>21.06</v>
      </c>
      <c r="D85" s="131">
        <v>18.57</v>
      </c>
      <c r="E85" s="33">
        <v>1</v>
      </c>
      <c r="F85" s="33"/>
      <c r="G85" s="268">
        <f t="shared" si="20"/>
        <v>21.06</v>
      </c>
      <c r="H85" s="268">
        <f t="shared" si="21"/>
        <v>21.06</v>
      </c>
      <c r="I85" s="268"/>
      <c r="J85" s="268"/>
      <c r="K85" s="268"/>
      <c r="L85" s="268"/>
      <c r="M85" s="268"/>
      <c r="N85" s="268"/>
      <c r="O85" s="268"/>
      <c r="P85" s="268"/>
      <c r="Q85" s="268"/>
      <c r="R85" s="32"/>
      <c r="S85" s="32">
        <f t="shared" ref="S85:S86" si="40">H85</f>
        <v>21.06</v>
      </c>
      <c r="T85" s="32"/>
      <c r="U85" s="31">
        <f t="shared" ref="U85:U86" si="41">D85*E85</f>
        <v>18.57</v>
      </c>
      <c r="V85" s="32"/>
      <c r="W85" s="105"/>
    </row>
    <row r="86" spans="1:23" ht="14.4" x14ac:dyDescent="0.25">
      <c r="A86" s="150"/>
      <c r="B86" s="262" t="s">
        <v>164</v>
      </c>
      <c r="C86" s="73">
        <v>24.95</v>
      </c>
      <c r="D86" s="131">
        <v>24.71</v>
      </c>
      <c r="E86" s="33">
        <v>1</v>
      </c>
      <c r="F86" s="33"/>
      <c r="G86" s="268">
        <f t="shared" si="20"/>
        <v>24.95</v>
      </c>
      <c r="H86" s="268">
        <f t="shared" si="21"/>
        <v>24.95</v>
      </c>
      <c r="I86" s="268"/>
      <c r="J86" s="268"/>
      <c r="K86" s="268"/>
      <c r="L86" s="268"/>
      <c r="M86" s="268"/>
      <c r="N86" s="268"/>
      <c r="O86" s="268"/>
      <c r="P86" s="268"/>
      <c r="Q86" s="268"/>
      <c r="R86" s="32"/>
      <c r="S86" s="32">
        <f t="shared" si="40"/>
        <v>24.95</v>
      </c>
      <c r="T86" s="32"/>
      <c r="U86" s="31">
        <f t="shared" si="41"/>
        <v>24.71</v>
      </c>
      <c r="V86" s="32"/>
      <c r="W86" s="105"/>
    </row>
    <row r="87" spans="1:23" ht="14.4" x14ac:dyDescent="0.25">
      <c r="A87" s="150"/>
      <c r="B87" s="317" t="s">
        <v>392</v>
      </c>
      <c r="C87" s="222">
        <v>67.58</v>
      </c>
      <c r="D87" s="336">
        <v>33.409999999999997</v>
      </c>
      <c r="E87" s="338">
        <v>1</v>
      </c>
      <c r="F87" s="338"/>
      <c r="G87" s="352">
        <f t="shared" ref="G87" si="42">C87*E87</f>
        <v>67.58</v>
      </c>
      <c r="H87" s="352">
        <f t="shared" ref="H87" si="43">G87</f>
        <v>67.58</v>
      </c>
      <c r="I87" s="352"/>
      <c r="J87" s="352"/>
      <c r="K87" s="352"/>
      <c r="L87" s="352"/>
      <c r="M87" s="352"/>
      <c r="N87" s="352"/>
      <c r="O87" s="352"/>
      <c r="P87" s="352"/>
      <c r="Q87" s="352"/>
      <c r="R87" s="353"/>
      <c r="S87" s="353"/>
      <c r="T87" s="353"/>
      <c r="U87" s="353"/>
      <c r="V87" s="353"/>
      <c r="W87" s="105"/>
    </row>
    <row r="88" spans="1:23" ht="20.100000000000001" customHeight="1" x14ac:dyDescent="0.25">
      <c r="B88" s="128" t="s">
        <v>22</v>
      </c>
      <c r="C88" s="129">
        <f>SUM(C13:C87)</f>
        <v>1425.8299999999997</v>
      </c>
      <c r="D88" s="129"/>
      <c r="E88" s="129"/>
      <c r="F88" s="129"/>
      <c r="G88" s="129">
        <f t="shared" ref="G88:V88" si="44">SUM(G13:G87)</f>
        <v>1436.9799999999996</v>
      </c>
      <c r="H88" s="129">
        <f t="shared" si="44"/>
        <v>1436.9799999999996</v>
      </c>
      <c r="I88" s="129">
        <f t="shared" si="44"/>
        <v>0</v>
      </c>
      <c r="J88" s="129">
        <f t="shared" si="44"/>
        <v>0</v>
      </c>
      <c r="K88" s="129">
        <f t="shared" si="44"/>
        <v>0</v>
      </c>
      <c r="L88" s="129">
        <f t="shared" si="44"/>
        <v>0</v>
      </c>
      <c r="M88" s="129">
        <f t="shared" si="44"/>
        <v>0</v>
      </c>
      <c r="N88" s="129">
        <f t="shared" si="44"/>
        <v>0</v>
      </c>
      <c r="O88" s="129">
        <f t="shared" si="44"/>
        <v>0</v>
      </c>
      <c r="P88" s="129">
        <f t="shared" si="44"/>
        <v>41.28</v>
      </c>
      <c r="Q88" s="129">
        <f t="shared" si="44"/>
        <v>107.77</v>
      </c>
      <c r="R88" s="129">
        <f t="shared" si="44"/>
        <v>52.57</v>
      </c>
      <c r="S88" s="129">
        <f t="shared" si="44"/>
        <v>1171.9399999999996</v>
      </c>
      <c r="T88" s="129">
        <f t="shared" si="44"/>
        <v>0</v>
      </c>
      <c r="U88" s="129">
        <f t="shared" si="44"/>
        <v>841.33000000000038</v>
      </c>
      <c r="V88" s="129">
        <f t="shared" si="44"/>
        <v>99.36</v>
      </c>
      <c r="W88" s="135"/>
    </row>
    <row r="89" spans="1:23" ht="20.100000000000001" customHeight="1" x14ac:dyDescent="0.25">
      <c r="B89" s="264"/>
      <c r="C89" s="265"/>
      <c r="D89" s="266"/>
      <c r="E89" s="129"/>
      <c r="F89" s="129"/>
      <c r="G89" s="129"/>
      <c r="H89" s="129"/>
      <c r="I89" s="141">
        <v>7</v>
      </c>
      <c r="J89" s="141">
        <v>8</v>
      </c>
      <c r="K89" s="141">
        <v>9</v>
      </c>
      <c r="L89" s="141">
        <v>12</v>
      </c>
      <c r="M89" s="141">
        <v>13</v>
      </c>
      <c r="N89" s="141">
        <v>14</v>
      </c>
      <c r="O89" s="224">
        <v>5</v>
      </c>
      <c r="P89" s="224">
        <v>4</v>
      </c>
      <c r="Q89" s="224">
        <v>2</v>
      </c>
      <c r="R89" s="224">
        <v>3</v>
      </c>
      <c r="S89" s="224">
        <v>1</v>
      </c>
      <c r="T89" s="224">
        <v>5</v>
      </c>
      <c r="U89" s="224">
        <v>1</v>
      </c>
      <c r="V89" s="224">
        <v>3</v>
      </c>
      <c r="W89" s="135"/>
    </row>
    <row r="90" spans="1:23" ht="49.95" customHeight="1" x14ac:dyDescent="0.25">
      <c r="B90" s="843" t="s">
        <v>16</v>
      </c>
      <c r="C90" s="838" t="s">
        <v>17</v>
      </c>
      <c r="D90" s="839" t="s">
        <v>18</v>
      </c>
      <c r="E90" s="842" t="s">
        <v>19</v>
      </c>
      <c r="F90" s="842" t="s">
        <v>13</v>
      </c>
      <c r="G90" s="842" t="s">
        <v>20</v>
      </c>
      <c r="H90" s="842" t="s">
        <v>21</v>
      </c>
      <c r="I90" s="855" t="s">
        <v>866</v>
      </c>
      <c r="J90" s="846" t="s">
        <v>867</v>
      </c>
      <c r="K90" s="855" t="s">
        <v>865</v>
      </c>
      <c r="L90" s="846" t="s">
        <v>868</v>
      </c>
      <c r="M90" s="846" t="s">
        <v>869</v>
      </c>
      <c r="N90" s="846" t="s">
        <v>870</v>
      </c>
      <c r="O90" s="838" t="s">
        <v>81</v>
      </c>
      <c r="P90" s="838" t="s">
        <v>80</v>
      </c>
      <c r="Q90" s="838" t="s">
        <v>70</v>
      </c>
      <c r="R90" s="838" t="s">
        <v>79</v>
      </c>
      <c r="S90" s="838" t="s">
        <v>78</v>
      </c>
      <c r="T90" s="848" t="s">
        <v>75</v>
      </c>
      <c r="U90" s="848" t="s">
        <v>71</v>
      </c>
      <c r="V90" s="848" t="s">
        <v>74</v>
      </c>
    </row>
    <row r="91" spans="1:23" ht="49.95" customHeight="1" x14ac:dyDescent="0.25">
      <c r="B91" s="852"/>
      <c r="C91" s="842"/>
      <c r="D91" s="838"/>
      <c r="E91" s="842"/>
      <c r="F91" s="842"/>
      <c r="G91" s="842"/>
      <c r="H91" s="842"/>
      <c r="I91" s="856"/>
      <c r="J91" s="847"/>
      <c r="K91" s="856"/>
      <c r="L91" s="847"/>
      <c r="M91" s="847"/>
      <c r="N91" s="847"/>
      <c r="O91" s="839"/>
      <c r="P91" s="839"/>
      <c r="Q91" s="839"/>
      <c r="R91" s="839"/>
      <c r="S91" s="839"/>
      <c r="T91" s="849"/>
      <c r="U91" s="849"/>
      <c r="V91" s="849"/>
    </row>
    <row r="92" spans="1:23" ht="15" customHeight="1" x14ac:dyDescent="0.25">
      <c r="A92" s="141" t="s">
        <v>204</v>
      </c>
      <c r="B92" s="59" t="s">
        <v>58</v>
      </c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1"/>
    </row>
    <row r="93" spans="1:23" ht="15" customHeight="1" x14ac:dyDescent="0.25">
      <c r="A93" s="563"/>
      <c r="B93" s="157" t="s">
        <v>168</v>
      </c>
      <c r="C93" s="186">
        <v>11.68</v>
      </c>
      <c r="D93" s="576">
        <v>47.31</v>
      </c>
      <c r="E93" s="33">
        <v>1</v>
      </c>
      <c r="F93" s="574"/>
      <c r="G93" s="574"/>
      <c r="H93" s="30">
        <f t="shared" ref="H93:H95" si="45">C93*E93</f>
        <v>11.68</v>
      </c>
      <c r="I93" s="30"/>
      <c r="J93" s="30"/>
      <c r="K93" s="30"/>
      <c r="L93" s="30"/>
      <c r="M93" s="30"/>
      <c r="N93" s="30"/>
      <c r="O93" s="576"/>
      <c r="P93" s="576"/>
      <c r="Q93" s="576"/>
      <c r="R93" s="576"/>
      <c r="S93" s="578">
        <f>H93</f>
        <v>11.68</v>
      </c>
      <c r="T93" s="576"/>
      <c r="U93" s="576">
        <f>D93*E93</f>
        <v>47.31</v>
      </c>
      <c r="V93" s="576"/>
      <c r="W93" s="1"/>
    </row>
    <row r="94" spans="1:23" ht="15" customHeight="1" x14ac:dyDescent="0.25">
      <c r="A94" s="563"/>
      <c r="B94" s="220" t="s">
        <v>168</v>
      </c>
      <c r="C94" s="579">
        <v>68.709999999999994</v>
      </c>
      <c r="D94" s="576">
        <v>44.47</v>
      </c>
      <c r="E94" s="33">
        <v>1</v>
      </c>
      <c r="F94" s="574"/>
      <c r="G94" s="574"/>
      <c r="H94" s="30">
        <f t="shared" si="45"/>
        <v>68.709999999999994</v>
      </c>
      <c r="I94" s="30"/>
      <c r="J94" s="30"/>
      <c r="K94" s="30"/>
      <c r="L94" s="30"/>
      <c r="M94" s="30"/>
      <c r="N94" s="30"/>
      <c r="O94" s="576"/>
      <c r="P94" s="576"/>
      <c r="Q94" s="576"/>
      <c r="R94" s="576"/>
      <c r="S94" s="578">
        <f>H94</f>
        <v>68.709999999999994</v>
      </c>
      <c r="T94" s="576"/>
      <c r="U94" s="31">
        <f t="shared" ref="U94:U95" si="46">D94*E94</f>
        <v>44.47</v>
      </c>
      <c r="V94" s="576"/>
      <c r="W94" s="1"/>
    </row>
    <row r="95" spans="1:23" ht="15" customHeight="1" x14ac:dyDescent="0.25">
      <c r="A95" s="563"/>
      <c r="B95" s="220" t="s">
        <v>168</v>
      </c>
      <c r="C95" s="579">
        <v>63.09</v>
      </c>
      <c r="D95" s="576">
        <v>47.31</v>
      </c>
      <c r="E95" s="33">
        <v>1</v>
      </c>
      <c r="F95" s="574"/>
      <c r="G95" s="574"/>
      <c r="H95" s="30">
        <f t="shared" si="45"/>
        <v>63.09</v>
      </c>
      <c r="I95" s="30"/>
      <c r="J95" s="30"/>
      <c r="K95" s="30"/>
      <c r="L95" s="30"/>
      <c r="M95" s="30"/>
      <c r="N95" s="30"/>
      <c r="O95" s="576"/>
      <c r="P95" s="576"/>
      <c r="Q95" s="576"/>
      <c r="R95" s="576"/>
      <c r="S95" s="578">
        <f>H95</f>
        <v>63.09</v>
      </c>
      <c r="T95" s="576"/>
      <c r="U95" s="31">
        <f t="shared" si="46"/>
        <v>47.31</v>
      </c>
      <c r="V95" s="576"/>
      <c r="W95" s="1"/>
    </row>
    <row r="96" spans="1:23" ht="14.4" customHeight="1" x14ac:dyDescent="0.25">
      <c r="A96" s="150"/>
      <c r="B96" s="15" t="s">
        <v>205</v>
      </c>
      <c r="C96" s="73">
        <v>19.14</v>
      </c>
      <c r="D96" s="131">
        <v>17.95</v>
      </c>
      <c r="E96" s="33">
        <v>1</v>
      </c>
      <c r="F96" s="29"/>
      <c r="G96" s="30"/>
      <c r="H96" s="30">
        <f>C96*E96</f>
        <v>19.14</v>
      </c>
      <c r="I96" s="156"/>
      <c r="J96" s="156"/>
      <c r="K96" s="156"/>
      <c r="L96" s="156"/>
      <c r="M96" s="156"/>
      <c r="N96" s="156"/>
      <c r="O96" s="156"/>
      <c r="P96" s="156"/>
      <c r="Q96" s="156"/>
      <c r="R96" s="31"/>
      <c r="S96" s="31">
        <f>H96</f>
        <v>19.14</v>
      </c>
      <c r="T96" s="31"/>
      <c r="U96" s="31">
        <f>D96*E96</f>
        <v>17.95</v>
      </c>
      <c r="V96" s="31"/>
      <c r="W96" s="1"/>
    </row>
    <row r="97" spans="1:23" ht="14.4" x14ac:dyDescent="0.25">
      <c r="A97" s="150"/>
      <c r="B97" s="15" t="s">
        <v>229</v>
      </c>
      <c r="C97" s="73">
        <v>0.46</v>
      </c>
      <c r="D97" s="131">
        <v>3.85</v>
      </c>
      <c r="E97" s="33">
        <v>1</v>
      </c>
      <c r="F97" s="29"/>
      <c r="G97" s="30"/>
      <c r="H97" s="30"/>
      <c r="I97" s="156"/>
      <c r="J97" s="156"/>
      <c r="K97" s="156"/>
      <c r="L97" s="156"/>
      <c r="M97" s="156"/>
      <c r="N97" s="156"/>
      <c r="O97" s="156"/>
      <c r="P97" s="156"/>
      <c r="Q97" s="156"/>
      <c r="R97" s="31"/>
      <c r="S97" s="31"/>
      <c r="T97" s="31"/>
      <c r="U97" s="31"/>
      <c r="V97" s="31"/>
      <c r="W97" s="1"/>
    </row>
    <row r="98" spans="1:23" ht="14.4" x14ac:dyDescent="0.25">
      <c r="A98" s="150"/>
      <c r="B98" s="220" t="s">
        <v>168</v>
      </c>
      <c r="C98" s="222">
        <v>15.95</v>
      </c>
      <c r="D98" s="131">
        <f>45.76-3.92</f>
        <v>41.839999999999996</v>
      </c>
      <c r="E98" s="33">
        <v>1</v>
      </c>
      <c r="F98" s="29"/>
      <c r="G98" s="30"/>
      <c r="H98" s="30">
        <f t="shared" ref="H98:H162" si="47">C98*E98</f>
        <v>15.95</v>
      </c>
      <c r="I98" s="156"/>
      <c r="J98" s="156"/>
      <c r="K98" s="156"/>
      <c r="L98" s="156"/>
      <c r="M98" s="156"/>
      <c r="N98" s="156"/>
      <c r="O98" s="156"/>
      <c r="P98" s="156"/>
      <c r="Q98" s="156"/>
      <c r="R98" s="31"/>
      <c r="S98" s="31">
        <f>H98</f>
        <v>15.95</v>
      </c>
      <c r="T98" s="31"/>
      <c r="U98" s="31">
        <f>D98*E98</f>
        <v>41.839999999999996</v>
      </c>
      <c r="V98" s="31"/>
      <c r="W98" s="1"/>
    </row>
    <row r="99" spans="1:23" ht="14.4" x14ac:dyDescent="0.25">
      <c r="A99" s="150"/>
      <c r="B99" s="157" t="s">
        <v>229</v>
      </c>
      <c r="C99" s="73">
        <v>3.03</v>
      </c>
      <c r="D99" s="131">
        <v>8.51</v>
      </c>
      <c r="E99" s="33">
        <v>1</v>
      </c>
      <c r="F99" s="29"/>
      <c r="G99" s="30"/>
      <c r="H99" s="30"/>
      <c r="I99" s="156"/>
      <c r="J99" s="156"/>
      <c r="K99" s="156"/>
      <c r="L99" s="156"/>
      <c r="M99" s="156"/>
      <c r="N99" s="156"/>
      <c r="O99" s="156"/>
      <c r="P99" s="156"/>
      <c r="Q99" s="156"/>
      <c r="R99" s="31"/>
      <c r="S99" s="31"/>
      <c r="T99" s="31"/>
      <c r="U99" s="31"/>
      <c r="V99" s="31"/>
      <c r="W99" s="1"/>
    </row>
    <row r="100" spans="1:23" ht="14.4" x14ac:dyDescent="0.25">
      <c r="A100" s="150"/>
      <c r="B100" s="220" t="s">
        <v>168</v>
      </c>
      <c r="C100" s="222">
        <v>11.45</v>
      </c>
      <c r="D100" s="131">
        <f>14.32-4.82</f>
        <v>9.5</v>
      </c>
      <c r="E100" s="33">
        <v>1</v>
      </c>
      <c r="F100" s="29"/>
      <c r="G100" s="30"/>
      <c r="H100" s="30">
        <f t="shared" si="47"/>
        <v>11.45</v>
      </c>
      <c r="I100" s="156"/>
      <c r="J100" s="156"/>
      <c r="K100" s="156"/>
      <c r="L100" s="156"/>
      <c r="M100" s="156"/>
      <c r="N100" s="156"/>
      <c r="O100" s="156"/>
      <c r="P100" s="156"/>
      <c r="Q100" s="156"/>
      <c r="R100" s="31"/>
      <c r="S100" s="31">
        <f>H100</f>
        <v>11.45</v>
      </c>
      <c r="T100" s="31"/>
      <c r="U100" s="31">
        <f>D100*E100</f>
        <v>9.5</v>
      </c>
      <c r="V100" s="31"/>
      <c r="W100" s="1"/>
    </row>
    <row r="101" spans="1:23" ht="14.4" x14ac:dyDescent="0.25">
      <c r="A101" s="150"/>
      <c r="B101" s="157" t="s">
        <v>229</v>
      </c>
      <c r="C101" s="73">
        <v>1.1000000000000001</v>
      </c>
      <c r="D101" s="131">
        <v>7.44</v>
      </c>
      <c r="E101" s="33">
        <v>1</v>
      </c>
      <c r="F101" s="29"/>
      <c r="G101" s="30"/>
      <c r="H101" s="30"/>
      <c r="I101" s="156"/>
      <c r="J101" s="156"/>
      <c r="K101" s="156"/>
      <c r="L101" s="156"/>
      <c r="M101" s="156"/>
      <c r="N101" s="156"/>
      <c r="O101" s="156"/>
      <c r="P101" s="156"/>
      <c r="Q101" s="156"/>
      <c r="R101" s="31"/>
      <c r="S101" s="31"/>
      <c r="T101" s="31"/>
      <c r="U101" s="31"/>
      <c r="V101" s="31"/>
      <c r="W101" s="1"/>
    </row>
    <row r="102" spans="1:23" ht="14.4" x14ac:dyDescent="0.25">
      <c r="A102" s="150"/>
      <c r="B102" s="220" t="s">
        <v>168</v>
      </c>
      <c r="C102" s="222">
        <v>65.36</v>
      </c>
      <c r="D102" s="131">
        <f>69.31-10.27</f>
        <v>59.040000000000006</v>
      </c>
      <c r="E102" s="33">
        <v>1</v>
      </c>
      <c r="F102" s="29"/>
      <c r="G102" s="30"/>
      <c r="H102" s="30">
        <f t="shared" si="47"/>
        <v>65.36</v>
      </c>
      <c r="I102" s="156"/>
      <c r="J102" s="156"/>
      <c r="K102" s="156"/>
      <c r="L102" s="156"/>
      <c r="M102" s="156"/>
      <c r="N102" s="156"/>
      <c r="O102" s="156"/>
      <c r="P102" s="156"/>
      <c r="Q102" s="156"/>
      <c r="R102" s="31"/>
      <c r="S102" s="31">
        <f t="shared" ref="S102:S107" si="48">H102</f>
        <v>65.36</v>
      </c>
      <c r="T102" s="31"/>
      <c r="U102" s="31">
        <f>D102*E102</f>
        <v>59.040000000000006</v>
      </c>
      <c r="V102" s="31"/>
      <c r="W102" s="1"/>
    </row>
    <row r="103" spans="1:23" ht="14.4" x14ac:dyDescent="0.25">
      <c r="A103" s="150"/>
      <c r="B103" s="15" t="s">
        <v>206</v>
      </c>
      <c r="C103" s="73">
        <v>13.71</v>
      </c>
      <c r="D103" s="131">
        <v>16.420000000000002</v>
      </c>
      <c r="E103" s="33">
        <v>1</v>
      </c>
      <c r="F103" s="29"/>
      <c r="G103" s="30"/>
      <c r="H103" s="30">
        <f t="shared" si="47"/>
        <v>13.71</v>
      </c>
      <c r="I103" s="156"/>
      <c r="J103" s="156"/>
      <c r="K103" s="156"/>
      <c r="L103" s="156"/>
      <c r="M103" s="156"/>
      <c r="N103" s="156"/>
      <c r="O103" s="156"/>
      <c r="P103" s="156"/>
      <c r="Q103" s="156"/>
      <c r="R103" s="31"/>
      <c r="S103" s="31">
        <f t="shared" si="48"/>
        <v>13.71</v>
      </c>
      <c r="T103" s="31"/>
      <c r="U103" s="31">
        <f t="shared" ref="U103:U111" si="49">D103*E103</f>
        <v>16.420000000000002</v>
      </c>
      <c r="V103" s="31"/>
      <c r="W103" s="1"/>
    </row>
    <row r="104" spans="1:23" ht="14.4" x14ac:dyDescent="0.25">
      <c r="A104" s="150"/>
      <c r="B104" s="15" t="s">
        <v>207</v>
      </c>
      <c r="C104" s="73">
        <v>17.18</v>
      </c>
      <c r="D104" s="131">
        <v>17.489999999999998</v>
      </c>
      <c r="E104" s="33">
        <v>1</v>
      </c>
      <c r="F104" s="29"/>
      <c r="G104" s="30"/>
      <c r="H104" s="30">
        <f t="shared" si="47"/>
        <v>17.18</v>
      </c>
      <c r="I104" s="156"/>
      <c r="J104" s="156"/>
      <c r="K104" s="156"/>
      <c r="L104" s="156"/>
      <c r="M104" s="156"/>
      <c r="N104" s="156"/>
      <c r="O104" s="156"/>
      <c r="P104" s="156"/>
      <c r="Q104" s="156"/>
      <c r="R104" s="31"/>
      <c r="S104" s="31">
        <f t="shared" si="48"/>
        <v>17.18</v>
      </c>
      <c r="T104" s="31"/>
      <c r="U104" s="31">
        <f t="shared" si="49"/>
        <v>17.489999999999998</v>
      </c>
      <c r="V104" s="31"/>
      <c r="W104" s="1"/>
    </row>
    <row r="105" spans="1:23" ht="14.4" x14ac:dyDescent="0.25">
      <c r="A105" s="150"/>
      <c r="B105" s="15" t="s">
        <v>181</v>
      </c>
      <c r="C105" s="73">
        <v>23.28</v>
      </c>
      <c r="D105" s="131">
        <v>19.649999999999999</v>
      </c>
      <c r="E105" s="33">
        <v>1</v>
      </c>
      <c r="F105" s="29"/>
      <c r="G105" s="30"/>
      <c r="H105" s="30">
        <f t="shared" si="47"/>
        <v>23.28</v>
      </c>
      <c r="I105" s="156"/>
      <c r="J105" s="156"/>
      <c r="K105" s="156"/>
      <c r="L105" s="156"/>
      <c r="M105" s="156"/>
      <c r="N105" s="156"/>
      <c r="O105" s="156"/>
      <c r="P105" s="156"/>
      <c r="Q105" s="156"/>
      <c r="R105" s="31"/>
      <c r="S105" s="31">
        <f t="shared" si="48"/>
        <v>23.28</v>
      </c>
      <c r="T105" s="31"/>
      <c r="U105" s="31">
        <f t="shared" si="49"/>
        <v>19.649999999999999</v>
      </c>
      <c r="V105" s="31"/>
      <c r="W105" s="1"/>
    </row>
    <row r="106" spans="1:23" ht="14.4" x14ac:dyDescent="0.25">
      <c r="A106" s="150"/>
      <c r="B106" s="220" t="s">
        <v>208</v>
      </c>
      <c r="C106" s="222">
        <v>14.43</v>
      </c>
      <c r="D106" s="131">
        <f>16.8-5.33</f>
        <v>11.47</v>
      </c>
      <c r="E106" s="33">
        <v>1</v>
      </c>
      <c r="F106" s="29"/>
      <c r="G106" s="30"/>
      <c r="H106" s="30">
        <f t="shared" si="47"/>
        <v>14.43</v>
      </c>
      <c r="I106" s="156"/>
      <c r="J106" s="156"/>
      <c r="K106" s="156"/>
      <c r="L106" s="156"/>
      <c r="M106" s="156"/>
      <c r="N106" s="156"/>
      <c r="O106" s="156"/>
      <c r="P106" s="156"/>
      <c r="Q106" s="156"/>
      <c r="R106" s="31"/>
      <c r="S106" s="31">
        <f t="shared" si="48"/>
        <v>14.43</v>
      </c>
      <c r="T106" s="31"/>
      <c r="U106" s="31">
        <f t="shared" si="49"/>
        <v>11.47</v>
      </c>
      <c r="V106" s="31"/>
      <c r="W106" s="1"/>
    </row>
    <row r="107" spans="1:23" ht="14.4" x14ac:dyDescent="0.25">
      <c r="A107" s="150"/>
      <c r="B107" s="220" t="s">
        <v>209</v>
      </c>
      <c r="C107" s="222">
        <v>18.29</v>
      </c>
      <c r="D107" s="131">
        <f>17.46-3.25</f>
        <v>14.21</v>
      </c>
      <c r="E107" s="33">
        <v>1</v>
      </c>
      <c r="F107" s="29"/>
      <c r="G107" s="30"/>
      <c r="H107" s="30">
        <f t="shared" si="47"/>
        <v>18.29</v>
      </c>
      <c r="I107" s="156"/>
      <c r="J107" s="156"/>
      <c r="K107" s="156"/>
      <c r="L107" s="156"/>
      <c r="M107" s="156"/>
      <c r="N107" s="156"/>
      <c r="O107" s="156"/>
      <c r="P107" s="156"/>
      <c r="Q107" s="156"/>
      <c r="R107" s="31"/>
      <c r="S107" s="31">
        <f t="shared" si="48"/>
        <v>18.29</v>
      </c>
      <c r="T107" s="31"/>
      <c r="U107" s="31">
        <f t="shared" si="49"/>
        <v>14.21</v>
      </c>
      <c r="V107" s="31"/>
      <c r="W107" s="1"/>
    </row>
    <row r="108" spans="1:23" ht="14.4" x14ac:dyDescent="0.25">
      <c r="A108" s="150"/>
      <c r="B108" s="220" t="s">
        <v>168</v>
      </c>
      <c r="C108" s="222">
        <v>14.02</v>
      </c>
      <c r="D108" s="131">
        <f>18.74-9.22</f>
        <v>9.5199999999999978</v>
      </c>
      <c r="E108" s="33">
        <v>1</v>
      </c>
      <c r="F108" s="29"/>
      <c r="G108" s="30"/>
      <c r="H108" s="30">
        <f t="shared" si="47"/>
        <v>14.02</v>
      </c>
      <c r="I108" s="156"/>
      <c r="J108" s="156"/>
      <c r="K108" s="156"/>
      <c r="L108" s="156"/>
      <c r="M108" s="156"/>
      <c r="N108" s="156"/>
      <c r="O108" s="156"/>
      <c r="P108" s="156"/>
      <c r="Q108" s="156"/>
      <c r="R108" s="31"/>
      <c r="S108" s="31">
        <f t="shared" ref="S108:S111" si="50">H108</f>
        <v>14.02</v>
      </c>
      <c r="T108" s="31"/>
      <c r="U108" s="31">
        <f t="shared" si="49"/>
        <v>9.5199999999999978</v>
      </c>
      <c r="V108" s="31"/>
      <c r="W108" s="1"/>
    </row>
    <row r="109" spans="1:23" ht="14.4" x14ac:dyDescent="0.25">
      <c r="A109" s="150"/>
      <c r="B109" s="220" t="s">
        <v>210</v>
      </c>
      <c r="C109" s="222">
        <v>8.48</v>
      </c>
      <c r="D109" s="131">
        <f>13.85-5.05</f>
        <v>8.8000000000000007</v>
      </c>
      <c r="E109" s="33">
        <v>1</v>
      </c>
      <c r="F109" s="29"/>
      <c r="G109" s="30"/>
      <c r="H109" s="30">
        <f t="shared" si="47"/>
        <v>8.48</v>
      </c>
      <c r="I109" s="156"/>
      <c r="J109" s="156"/>
      <c r="K109" s="156"/>
      <c r="L109" s="156"/>
      <c r="M109" s="156"/>
      <c r="N109" s="156"/>
      <c r="O109" s="156"/>
      <c r="P109" s="156"/>
      <c r="Q109" s="156"/>
      <c r="R109" s="31"/>
      <c r="S109" s="31">
        <f t="shared" si="50"/>
        <v>8.48</v>
      </c>
      <c r="T109" s="31"/>
      <c r="U109" s="31">
        <f t="shared" si="49"/>
        <v>8.8000000000000007</v>
      </c>
      <c r="V109" s="31"/>
      <c r="W109" s="1"/>
    </row>
    <row r="110" spans="1:23" ht="14.4" x14ac:dyDescent="0.25">
      <c r="A110" s="150"/>
      <c r="B110" s="220" t="s">
        <v>168</v>
      </c>
      <c r="C110" s="222">
        <v>4.0199999999999996</v>
      </c>
      <c r="D110" s="131">
        <f>9.85-2.72</f>
        <v>7.129999999999999</v>
      </c>
      <c r="E110" s="33">
        <v>1</v>
      </c>
      <c r="F110" s="29"/>
      <c r="G110" s="30"/>
      <c r="H110" s="30">
        <f t="shared" si="47"/>
        <v>4.0199999999999996</v>
      </c>
      <c r="I110" s="156"/>
      <c r="J110" s="156"/>
      <c r="K110" s="156"/>
      <c r="L110" s="156"/>
      <c r="M110" s="156"/>
      <c r="N110" s="156"/>
      <c r="O110" s="156"/>
      <c r="P110" s="156"/>
      <c r="Q110" s="156"/>
      <c r="R110" s="31"/>
      <c r="S110" s="31">
        <f t="shared" si="50"/>
        <v>4.0199999999999996</v>
      </c>
      <c r="T110" s="31"/>
      <c r="U110" s="31">
        <f t="shared" si="49"/>
        <v>7.129999999999999</v>
      </c>
      <c r="V110" s="31"/>
      <c r="W110" s="1"/>
    </row>
    <row r="111" spans="1:23" ht="14.4" x14ac:dyDescent="0.25">
      <c r="A111" s="150"/>
      <c r="B111" s="220" t="s">
        <v>211</v>
      </c>
      <c r="C111" s="222">
        <v>4.03</v>
      </c>
      <c r="D111" s="131">
        <v>8.0500000000000007</v>
      </c>
      <c r="E111" s="33">
        <v>1</v>
      </c>
      <c r="F111" s="29"/>
      <c r="G111" s="30"/>
      <c r="H111" s="30">
        <f t="shared" si="47"/>
        <v>4.03</v>
      </c>
      <c r="I111" s="156"/>
      <c r="J111" s="156"/>
      <c r="K111" s="156"/>
      <c r="L111" s="156"/>
      <c r="M111" s="156"/>
      <c r="N111" s="156"/>
      <c r="O111" s="156"/>
      <c r="P111" s="156"/>
      <c r="Q111" s="156"/>
      <c r="R111" s="31"/>
      <c r="S111" s="31">
        <f t="shared" si="50"/>
        <v>4.03</v>
      </c>
      <c r="T111" s="31"/>
      <c r="U111" s="31">
        <f t="shared" si="49"/>
        <v>8.0500000000000007</v>
      </c>
      <c r="V111" s="31"/>
      <c r="W111" s="1"/>
    </row>
    <row r="112" spans="1:23" ht="14.4" x14ac:dyDescent="0.25">
      <c r="A112" s="150"/>
      <c r="B112" s="15" t="s">
        <v>158</v>
      </c>
      <c r="C112" s="73">
        <v>2.61</v>
      </c>
      <c r="D112" s="131">
        <v>6.61</v>
      </c>
      <c r="E112" s="33">
        <v>1</v>
      </c>
      <c r="F112" s="29"/>
      <c r="G112" s="30"/>
      <c r="H112" s="30">
        <f t="shared" si="47"/>
        <v>2.61</v>
      </c>
      <c r="I112" s="156"/>
      <c r="J112" s="156"/>
      <c r="K112" s="156"/>
      <c r="L112" s="156"/>
      <c r="M112" s="156"/>
      <c r="N112" s="156"/>
      <c r="O112" s="156"/>
      <c r="P112" s="156"/>
      <c r="Q112" s="156">
        <f>H112</f>
        <v>2.61</v>
      </c>
      <c r="R112" s="31"/>
      <c r="S112" s="31"/>
      <c r="T112" s="31"/>
      <c r="U112" s="31"/>
      <c r="V112" s="31"/>
      <c r="W112" s="1"/>
    </row>
    <row r="113" spans="1:23" ht="14.4" x14ac:dyDescent="0.25">
      <c r="A113" s="150"/>
      <c r="B113" s="15" t="s">
        <v>212</v>
      </c>
      <c r="C113" s="73">
        <v>3.36</v>
      </c>
      <c r="D113" s="131">
        <v>7.36</v>
      </c>
      <c r="E113" s="33">
        <v>1</v>
      </c>
      <c r="F113" s="29"/>
      <c r="G113" s="30"/>
      <c r="H113" s="30">
        <f t="shared" si="47"/>
        <v>3.36</v>
      </c>
      <c r="I113" s="156"/>
      <c r="J113" s="156"/>
      <c r="K113" s="156"/>
      <c r="L113" s="156"/>
      <c r="M113" s="156"/>
      <c r="N113" s="156"/>
      <c r="O113" s="156"/>
      <c r="P113" s="156"/>
      <c r="Q113" s="156"/>
      <c r="R113" s="31"/>
      <c r="S113" s="31">
        <f>H113</f>
        <v>3.36</v>
      </c>
      <c r="T113" s="31"/>
      <c r="U113" s="31">
        <f>D113*E113</f>
        <v>7.36</v>
      </c>
      <c r="V113" s="31"/>
      <c r="W113" s="1"/>
    </row>
    <row r="114" spans="1:23" ht="14.4" x14ac:dyDescent="0.25">
      <c r="A114" s="150"/>
      <c r="B114" s="15" t="s">
        <v>213</v>
      </c>
      <c r="C114" s="73">
        <v>3.08</v>
      </c>
      <c r="D114" s="131">
        <v>7.2</v>
      </c>
      <c r="E114" s="33">
        <v>1</v>
      </c>
      <c r="F114" s="29"/>
      <c r="G114" s="30"/>
      <c r="H114" s="30">
        <f t="shared" si="47"/>
        <v>3.08</v>
      </c>
      <c r="I114" s="156"/>
      <c r="J114" s="156"/>
      <c r="K114" s="156"/>
      <c r="L114" s="156"/>
      <c r="M114" s="156"/>
      <c r="N114" s="156"/>
      <c r="O114" s="156"/>
      <c r="P114" s="156"/>
      <c r="Q114" s="156"/>
      <c r="R114" s="31">
        <f>H114</f>
        <v>3.08</v>
      </c>
      <c r="S114" s="31"/>
      <c r="T114" s="31"/>
      <c r="U114" s="31"/>
      <c r="V114" s="31">
        <f t="shared" ref="V114" si="51">D114*E114</f>
        <v>7.2</v>
      </c>
      <c r="W114" s="1"/>
    </row>
    <row r="115" spans="1:23" ht="14.4" x14ac:dyDescent="0.25">
      <c r="A115" s="150"/>
      <c r="B115" s="15" t="s">
        <v>214</v>
      </c>
      <c r="C115" s="73">
        <v>6.72</v>
      </c>
      <c r="D115" s="131">
        <v>10.51</v>
      </c>
      <c r="E115" s="33">
        <v>1</v>
      </c>
      <c r="F115" s="29"/>
      <c r="G115" s="30"/>
      <c r="H115" s="30">
        <f t="shared" si="47"/>
        <v>6.72</v>
      </c>
      <c r="I115" s="156"/>
      <c r="J115" s="156"/>
      <c r="K115" s="156"/>
      <c r="L115" s="156"/>
      <c r="M115" s="156"/>
      <c r="N115" s="156"/>
      <c r="O115" s="156"/>
      <c r="P115" s="156"/>
      <c r="Q115" s="156"/>
      <c r="R115" s="31"/>
      <c r="S115" s="31">
        <f>H115</f>
        <v>6.72</v>
      </c>
      <c r="T115" s="31"/>
      <c r="U115" s="31">
        <f>D115*E115</f>
        <v>10.51</v>
      </c>
      <c r="V115" s="31"/>
      <c r="W115" s="1"/>
    </row>
    <row r="116" spans="1:23" ht="14.4" x14ac:dyDescent="0.25">
      <c r="A116" s="150"/>
      <c r="B116" s="15" t="s">
        <v>158</v>
      </c>
      <c r="C116" s="73">
        <v>3.3</v>
      </c>
      <c r="D116" s="131">
        <v>7.39</v>
      </c>
      <c r="E116" s="33">
        <v>1</v>
      </c>
      <c r="F116" s="29"/>
      <c r="G116" s="30"/>
      <c r="H116" s="30">
        <f t="shared" si="47"/>
        <v>3.3</v>
      </c>
      <c r="I116" s="156"/>
      <c r="J116" s="156"/>
      <c r="K116" s="156"/>
      <c r="L116" s="156"/>
      <c r="M116" s="156"/>
      <c r="N116" s="156"/>
      <c r="O116" s="156"/>
      <c r="P116" s="156"/>
      <c r="Q116" s="156">
        <f>H116</f>
        <v>3.3</v>
      </c>
      <c r="R116" s="31"/>
      <c r="S116" s="31"/>
      <c r="T116" s="31"/>
      <c r="U116" s="31"/>
      <c r="V116" s="31"/>
      <c r="W116" s="1"/>
    </row>
    <row r="117" spans="1:23" ht="14.4" x14ac:dyDescent="0.25">
      <c r="A117" s="150"/>
      <c r="B117" s="15" t="s">
        <v>181</v>
      </c>
      <c r="C117" s="73">
        <v>28.44</v>
      </c>
      <c r="D117" s="131">
        <v>23.14</v>
      </c>
      <c r="E117" s="33">
        <v>1</v>
      </c>
      <c r="F117" s="29"/>
      <c r="G117" s="30"/>
      <c r="H117" s="30">
        <f t="shared" si="47"/>
        <v>28.44</v>
      </c>
      <c r="I117" s="156"/>
      <c r="J117" s="156"/>
      <c r="K117" s="156"/>
      <c r="L117" s="156"/>
      <c r="M117" s="156"/>
      <c r="N117" s="156"/>
      <c r="O117" s="156"/>
      <c r="P117" s="156"/>
      <c r="Q117" s="156"/>
      <c r="R117" s="31"/>
      <c r="S117" s="31">
        <f t="shared" ref="S117:S122" si="52">H117</f>
        <v>28.44</v>
      </c>
      <c r="T117" s="31"/>
      <c r="U117" s="31">
        <f t="shared" ref="U117:U129" si="53">D117*E117</f>
        <v>23.14</v>
      </c>
      <c r="V117" s="31"/>
      <c r="W117" s="1"/>
    </row>
    <row r="118" spans="1:23" ht="14.4" x14ac:dyDescent="0.25">
      <c r="A118" s="150"/>
      <c r="B118" s="15" t="s">
        <v>215</v>
      </c>
      <c r="C118" s="73">
        <v>7.81</v>
      </c>
      <c r="D118" s="131">
        <v>11.25</v>
      </c>
      <c r="E118" s="33">
        <v>1</v>
      </c>
      <c r="F118" s="29"/>
      <c r="G118" s="30"/>
      <c r="H118" s="30">
        <f t="shared" si="47"/>
        <v>7.81</v>
      </c>
      <c r="I118" s="156"/>
      <c r="J118" s="156"/>
      <c r="K118" s="156"/>
      <c r="L118" s="156"/>
      <c r="M118" s="156"/>
      <c r="N118" s="156"/>
      <c r="O118" s="156"/>
      <c r="P118" s="156"/>
      <c r="Q118" s="156"/>
      <c r="R118" s="31"/>
      <c r="S118" s="31">
        <f t="shared" si="52"/>
        <v>7.81</v>
      </c>
      <c r="T118" s="31"/>
      <c r="U118" s="31">
        <f t="shared" si="53"/>
        <v>11.25</v>
      </c>
      <c r="V118" s="31"/>
      <c r="W118" s="1"/>
    </row>
    <row r="119" spans="1:23" ht="14.4" x14ac:dyDescent="0.25">
      <c r="A119" s="150"/>
      <c r="B119" s="15" t="s">
        <v>216</v>
      </c>
      <c r="C119" s="73">
        <v>7.84</v>
      </c>
      <c r="D119" s="131">
        <v>11.27</v>
      </c>
      <c r="E119" s="33">
        <v>1</v>
      </c>
      <c r="F119" s="29"/>
      <c r="G119" s="30"/>
      <c r="H119" s="30">
        <f t="shared" si="47"/>
        <v>7.84</v>
      </c>
      <c r="I119" s="156"/>
      <c r="J119" s="156"/>
      <c r="K119" s="156"/>
      <c r="L119" s="156"/>
      <c r="M119" s="156"/>
      <c r="N119" s="156"/>
      <c r="O119" s="156"/>
      <c r="P119" s="156"/>
      <c r="Q119" s="156"/>
      <c r="R119" s="31"/>
      <c r="S119" s="31">
        <f t="shared" si="52"/>
        <v>7.84</v>
      </c>
      <c r="T119" s="31"/>
      <c r="U119" s="31">
        <f t="shared" si="53"/>
        <v>11.27</v>
      </c>
      <c r="V119" s="31"/>
      <c r="W119" s="1"/>
    </row>
    <row r="120" spans="1:23" ht="14.4" x14ac:dyDescent="0.25">
      <c r="A120" s="150"/>
      <c r="B120" s="15" t="s">
        <v>217</v>
      </c>
      <c r="C120" s="73">
        <v>20.56</v>
      </c>
      <c r="D120" s="131">
        <v>19.170000000000002</v>
      </c>
      <c r="E120" s="33">
        <v>1</v>
      </c>
      <c r="F120" s="29"/>
      <c r="G120" s="30"/>
      <c r="H120" s="30">
        <f t="shared" si="47"/>
        <v>20.56</v>
      </c>
      <c r="I120" s="156"/>
      <c r="J120" s="156"/>
      <c r="K120" s="156"/>
      <c r="L120" s="156"/>
      <c r="M120" s="156"/>
      <c r="N120" s="156"/>
      <c r="O120" s="156"/>
      <c r="P120" s="156"/>
      <c r="Q120" s="156"/>
      <c r="R120" s="31"/>
      <c r="S120" s="31">
        <f t="shared" si="52"/>
        <v>20.56</v>
      </c>
      <c r="T120" s="31"/>
      <c r="U120" s="31">
        <f t="shared" si="53"/>
        <v>19.170000000000002</v>
      </c>
      <c r="V120" s="31"/>
      <c r="W120" s="1"/>
    </row>
    <row r="121" spans="1:23" ht="14.4" x14ac:dyDescent="0.25">
      <c r="A121" s="150"/>
      <c r="B121" s="15" t="s">
        <v>218</v>
      </c>
      <c r="C121" s="73">
        <v>20.239999999999998</v>
      </c>
      <c r="D121" s="131">
        <v>19.059999999999999</v>
      </c>
      <c r="E121" s="33">
        <v>1</v>
      </c>
      <c r="F121" s="29"/>
      <c r="G121" s="30"/>
      <c r="H121" s="30">
        <f t="shared" si="47"/>
        <v>20.239999999999998</v>
      </c>
      <c r="I121" s="156"/>
      <c r="J121" s="156"/>
      <c r="K121" s="156"/>
      <c r="L121" s="156"/>
      <c r="M121" s="156"/>
      <c r="N121" s="156"/>
      <c r="O121" s="156"/>
      <c r="P121" s="156"/>
      <c r="Q121" s="156"/>
      <c r="R121" s="31"/>
      <c r="S121" s="31">
        <f t="shared" si="52"/>
        <v>20.239999999999998</v>
      </c>
      <c r="T121" s="31"/>
      <c r="U121" s="31">
        <f t="shared" si="53"/>
        <v>19.059999999999999</v>
      </c>
      <c r="V121" s="31"/>
      <c r="W121" s="1"/>
    </row>
    <row r="122" spans="1:23" ht="14.4" x14ac:dyDescent="0.25">
      <c r="A122" s="150"/>
      <c r="B122" s="15" t="s">
        <v>219</v>
      </c>
      <c r="C122" s="73">
        <v>15.77</v>
      </c>
      <c r="D122" s="131">
        <v>17.739999999999998</v>
      </c>
      <c r="E122" s="33">
        <v>1</v>
      </c>
      <c r="F122" s="29"/>
      <c r="G122" s="30"/>
      <c r="H122" s="30">
        <f t="shared" si="47"/>
        <v>15.77</v>
      </c>
      <c r="I122" s="156"/>
      <c r="J122" s="156"/>
      <c r="K122" s="156"/>
      <c r="L122" s="156"/>
      <c r="M122" s="156"/>
      <c r="N122" s="156"/>
      <c r="O122" s="156"/>
      <c r="P122" s="156"/>
      <c r="Q122" s="156"/>
      <c r="R122" s="31"/>
      <c r="S122" s="31">
        <f t="shared" si="52"/>
        <v>15.77</v>
      </c>
      <c r="T122" s="31"/>
      <c r="U122" s="31">
        <f t="shared" si="53"/>
        <v>17.739999999999998</v>
      </c>
      <c r="V122" s="31"/>
      <c r="W122" s="1"/>
    </row>
    <row r="123" spans="1:23" ht="14.4" x14ac:dyDescent="0.25">
      <c r="A123" s="150"/>
      <c r="B123" s="15" t="s">
        <v>220</v>
      </c>
      <c r="C123" s="73">
        <v>14.72</v>
      </c>
      <c r="D123" s="131">
        <v>17.57</v>
      </c>
      <c r="E123" s="33">
        <v>1</v>
      </c>
      <c r="F123" s="29"/>
      <c r="G123" s="30"/>
      <c r="H123" s="30">
        <f t="shared" si="47"/>
        <v>14.72</v>
      </c>
      <c r="I123" s="156"/>
      <c r="J123" s="156"/>
      <c r="K123" s="156"/>
      <c r="L123" s="156"/>
      <c r="M123" s="156"/>
      <c r="N123" s="156"/>
      <c r="O123" s="156"/>
      <c r="P123" s="156"/>
      <c r="Q123" s="156"/>
      <c r="R123" s="31"/>
      <c r="S123" s="31">
        <f t="shared" ref="S123:S129" si="54">H123</f>
        <v>14.72</v>
      </c>
      <c r="T123" s="31"/>
      <c r="U123" s="31">
        <f t="shared" si="53"/>
        <v>17.57</v>
      </c>
      <c r="V123" s="31"/>
      <c r="W123" s="1"/>
    </row>
    <row r="124" spans="1:23" ht="14.4" x14ac:dyDescent="0.25">
      <c r="A124" s="150"/>
      <c r="B124" s="15" t="s">
        <v>221</v>
      </c>
      <c r="C124" s="73">
        <v>16.02</v>
      </c>
      <c r="D124" s="131">
        <v>17.82</v>
      </c>
      <c r="E124" s="33">
        <v>1</v>
      </c>
      <c r="F124" s="29"/>
      <c r="G124" s="30"/>
      <c r="H124" s="30">
        <f t="shared" si="47"/>
        <v>16.02</v>
      </c>
      <c r="I124" s="156"/>
      <c r="J124" s="156"/>
      <c r="K124" s="156"/>
      <c r="L124" s="156"/>
      <c r="M124" s="156"/>
      <c r="N124" s="156"/>
      <c r="O124" s="156"/>
      <c r="P124" s="156"/>
      <c r="Q124" s="156"/>
      <c r="R124" s="31"/>
      <c r="S124" s="31">
        <f t="shared" si="54"/>
        <v>16.02</v>
      </c>
      <c r="T124" s="31"/>
      <c r="U124" s="31">
        <f t="shared" si="53"/>
        <v>17.82</v>
      </c>
      <c r="V124" s="31"/>
      <c r="W124" s="1"/>
    </row>
    <row r="125" spans="1:23" ht="14.4" x14ac:dyDescent="0.25">
      <c r="A125" s="150"/>
      <c r="B125" s="15" t="s">
        <v>222</v>
      </c>
      <c r="C125" s="73">
        <v>16.350000000000001</v>
      </c>
      <c r="D125" s="131">
        <v>17.920000000000002</v>
      </c>
      <c r="E125" s="33">
        <v>1</v>
      </c>
      <c r="F125" s="29"/>
      <c r="G125" s="30"/>
      <c r="H125" s="30">
        <f t="shared" si="47"/>
        <v>16.350000000000001</v>
      </c>
      <c r="I125" s="156"/>
      <c r="J125" s="156"/>
      <c r="K125" s="156"/>
      <c r="L125" s="156"/>
      <c r="M125" s="156"/>
      <c r="N125" s="156"/>
      <c r="O125" s="156"/>
      <c r="P125" s="156"/>
      <c r="Q125" s="156"/>
      <c r="R125" s="31"/>
      <c r="S125" s="31">
        <f t="shared" si="54"/>
        <v>16.350000000000001</v>
      </c>
      <c r="T125" s="31"/>
      <c r="U125" s="31">
        <f t="shared" si="53"/>
        <v>17.920000000000002</v>
      </c>
      <c r="V125" s="31"/>
      <c r="W125" s="1"/>
    </row>
    <row r="126" spans="1:23" ht="14.4" x14ac:dyDescent="0.25">
      <c r="A126" s="150"/>
      <c r="B126" s="15" t="s">
        <v>223</v>
      </c>
      <c r="C126" s="73">
        <v>14.72</v>
      </c>
      <c r="D126" s="131">
        <v>17.59</v>
      </c>
      <c r="E126" s="33">
        <v>1</v>
      </c>
      <c r="F126" s="29"/>
      <c r="G126" s="30"/>
      <c r="H126" s="30">
        <f t="shared" si="47"/>
        <v>14.72</v>
      </c>
      <c r="I126" s="156"/>
      <c r="J126" s="156"/>
      <c r="K126" s="156"/>
      <c r="L126" s="156"/>
      <c r="M126" s="156"/>
      <c r="N126" s="156"/>
      <c r="O126" s="156"/>
      <c r="P126" s="156"/>
      <c r="Q126" s="156"/>
      <c r="R126" s="31"/>
      <c r="S126" s="31">
        <f t="shared" si="54"/>
        <v>14.72</v>
      </c>
      <c r="T126" s="31"/>
      <c r="U126" s="31">
        <f t="shared" si="53"/>
        <v>17.59</v>
      </c>
      <c r="V126" s="31"/>
      <c r="W126" s="1"/>
    </row>
    <row r="127" spans="1:23" ht="14.4" x14ac:dyDescent="0.25">
      <c r="A127" s="150"/>
      <c r="B127" s="220" t="s">
        <v>224</v>
      </c>
      <c r="C127" s="222">
        <v>15.01</v>
      </c>
      <c r="D127" s="131">
        <f>18.25-3.15</f>
        <v>15.1</v>
      </c>
      <c r="E127" s="33">
        <v>1</v>
      </c>
      <c r="F127" s="29"/>
      <c r="G127" s="30"/>
      <c r="H127" s="30">
        <f t="shared" si="47"/>
        <v>15.01</v>
      </c>
      <c r="I127" s="156"/>
      <c r="J127" s="156"/>
      <c r="K127" s="156"/>
      <c r="L127" s="156"/>
      <c r="M127" s="156"/>
      <c r="N127" s="156"/>
      <c r="O127" s="156"/>
      <c r="P127" s="156"/>
      <c r="Q127" s="156"/>
      <c r="R127" s="31"/>
      <c r="S127" s="31">
        <f t="shared" si="54"/>
        <v>15.01</v>
      </c>
      <c r="T127" s="31"/>
      <c r="U127" s="31">
        <f t="shared" si="53"/>
        <v>15.1</v>
      </c>
      <c r="V127" s="31"/>
      <c r="W127" s="1"/>
    </row>
    <row r="128" spans="1:23" ht="14.4" x14ac:dyDescent="0.25">
      <c r="A128" s="150"/>
      <c r="B128" s="15" t="s">
        <v>212</v>
      </c>
      <c r="C128" s="73">
        <v>4.41</v>
      </c>
      <c r="D128" s="131">
        <v>8.59</v>
      </c>
      <c r="E128" s="33">
        <v>1</v>
      </c>
      <c r="F128" s="29"/>
      <c r="G128" s="30"/>
      <c r="H128" s="30">
        <f t="shared" si="47"/>
        <v>4.41</v>
      </c>
      <c r="I128" s="156"/>
      <c r="J128" s="156"/>
      <c r="K128" s="156"/>
      <c r="L128" s="156"/>
      <c r="M128" s="156"/>
      <c r="N128" s="156"/>
      <c r="O128" s="156"/>
      <c r="P128" s="156"/>
      <c r="Q128" s="156"/>
      <c r="R128" s="31"/>
      <c r="S128" s="31">
        <f t="shared" si="54"/>
        <v>4.41</v>
      </c>
      <c r="T128" s="31"/>
      <c r="U128" s="31">
        <f t="shared" si="53"/>
        <v>8.59</v>
      </c>
      <c r="V128" s="31"/>
      <c r="W128" s="1"/>
    </row>
    <row r="129" spans="1:23" ht="14.4" x14ac:dyDescent="0.25">
      <c r="A129" s="150"/>
      <c r="B129" s="220" t="s">
        <v>168</v>
      </c>
      <c r="C129" s="222">
        <v>5.64</v>
      </c>
      <c r="D129" s="131">
        <f>11.8-3.15</f>
        <v>8.65</v>
      </c>
      <c r="E129" s="33">
        <v>1</v>
      </c>
      <c r="F129" s="29"/>
      <c r="G129" s="30"/>
      <c r="H129" s="30">
        <f t="shared" si="47"/>
        <v>5.64</v>
      </c>
      <c r="I129" s="156"/>
      <c r="J129" s="156"/>
      <c r="K129" s="156"/>
      <c r="L129" s="156"/>
      <c r="M129" s="156"/>
      <c r="N129" s="156"/>
      <c r="O129" s="156"/>
      <c r="P129" s="156"/>
      <c r="Q129" s="156"/>
      <c r="R129" s="31"/>
      <c r="S129" s="31">
        <f t="shared" si="54"/>
        <v>5.64</v>
      </c>
      <c r="T129" s="31"/>
      <c r="U129" s="31">
        <f t="shared" si="53"/>
        <v>8.65</v>
      </c>
      <c r="V129" s="31"/>
      <c r="W129" s="1"/>
    </row>
    <row r="130" spans="1:23" ht="14.4" x14ac:dyDescent="0.25">
      <c r="A130" s="150"/>
      <c r="B130" s="15" t="s">
        <v>189</v>
      </c>
      <c r="C130" s="73">
        <v>3.4</v>
      </c>
      <c r="D130" s="131">
        <v>7.53</v>
      </c>
      <c r="E130" s="33">
        <v>1</v>
      </c>
      <c r="F130" s="29"/>
      <c r="G130" s="30"/>
      <c r="H130" s="30">
        <f t="shared" si="47"/>
        <v>3.4</v>
      </c>
      <c r="I130" s="156"/>
      <c r="J130" s="156"/>
      <c r="K130" s="156"/>
      <c r="L130" s="156"/>
      <c r="M130" s="156"/>
      <c r="N130" s="156"/>
      <c r="O130" s="156"/>
      <c r="P130" s="156"/>
      <c r="Q130" s="156"/>
      <c r="R130" s="31">
        <f>H130</f>
        <v>3.4</v>
      </c>
      <c r="S130" s="31"/>
      <c r="T130" s="31"/>
      <c r="U130" s="31"/>
      <c r="V130" s="31">
        <f>D130*E130</f>
        <v>7.53</v>
      </c>
      <c r="W130" s="1"/>
    </row>
    <row r="131" spans="1:23" ht="14.4" x14ac:dyDescent="0.25">
      <c r="A131" s="150"/>
      <c r="B131" s="15" t="s">
        <v>225</v>
      </c>
      <c r="C131" s="73">
        <v>7.07</v>
      </c>
      <c r="D131" s="131">
        <v>10.83</v>
      </c>
      <c r="E131" s="33">
        <v>2</v>
      </c>
      <c r="F131" s="29"/>
      <c r="G131" s="30"/>
      <c r="H131" s="30">
        <f t="shared" si="47"/>
        <v>14.14</v>
      </c>
      <c r="I131" s="156"/>
      <c r="J131" s="156"/>
      <c r="K131" s="156"/>
      <c r="L131" s="156"/>
      <c r="M131" s="156"/>
      <c r="N131" s="156"/>
      <c r="O131" s="156"/>
      <c r="P131" s="156"/>
      <c r="Q131" s="156"/>
      <c r="R131" s="31">
        <f>H131</f>
        <v>14.14</v>
      </c>
      <c r="S131" s="31"/>
      <c r="T131" s="31"/>
      <c r="U131" s="31"/>
      <c r="V131" s="31">
        <f>D131*E131</f>
        <v>21.66</v>
      </c>
      <c r="W131" s="1"/>
    </row>
    <row r="132" spans="1:23" ht="28.8" x14ac:dyDescent="0.25">
      <c r="A132" s="150"/>
      <c r="B132" s="254" t="s">
        <v>226</v>
      </c>
      <c r="C132" s="73">
        <v>6.26</v>
      </c>
      <c r="D132" s="131">
        <v>10.34</v>
      </c>
      <c r="E132" s="33">
        <v>1</v>
      </c>
      <c r="F132" s="29"/>
      <c r="G132" s="30"/>
      <c r="H132" s="30">
        <f t="shared" si="47"/>
        <v>6.26</v>
      </c>
      <c r="I132" s="156"/>
      <c r="J132" s="156"/>
      <c r="K132" s="156"/>
      <c r="L132" s="156"/>
      <c r="M132" s="156"/>
      <c r="N132" s="156"/>
      <c r="O132" s="156"/>
      <c r="P132" s="156"/>
      <c r="Q132" s="156"/>
      <c r="R132" s="31"/>
      <c r="S132" s="31">
        <f>H132</f>
        <v>6.26</v>
      </c>
      <c r="T132" s="31"/>
      <c r="U132" s="31">
        <f>D132*E132</f>
        <v>10.34</v>
      </c>
      <c r="V132" s="31"/>
      <c r="W132" s="1"/>
    </row>
    <row r="133" spans="1:23" ht="14.4" x14ac:dyDescent="0.25">
      <c r="A133" s="150"/>
      <c r="B133" s="254" t="s">
        <v>229</v>
      </c>
      <c r="C133" s="73">
        <v>1.62</v>
      </c>
      <c r="D133" s="131">
        <v>7.11</v>
      </c>
      <c r="E133" s="33">
        <v>1</v>
      </c>
      <c r="F133" s="29"/>
      <c r="G133" s="30"/>
      <c r="H133" s="30"/>
      <c r="I133" s="156"/>
      <c r="J133" s="156"/>
      <c r="K133" s="156"/>
      <c r="L133" s="156"/>
      <c r="M133" s="156"/>
      <c r="N133" s="156"/>
      <c r="O133" s="156"/>
      <c r="P133" s="156"/>
      <c r="Q133" s="156"/>
      <c r="R133" s="31"/>
      <c r="S133" s="31"/>
      <c r="T133" s="31"/>
      <c r="U133" s="31"/>
      <c r="V133" s="31"/>
      <c r="W133" s="1"/>
    </row>
    <row r="134" spans="1:23" ht="14.4" x14ac:dyDescent="0.25">
      <c r="A134" s="150"/>
      <c r="B134" s="254" t="s">
        <v>229</v>
      </c>
      <c r="C134" s="73">
        <v>0.54</v>
      </c>
      <c r="D134" s="131">
        <v>3.07</v>
      </c>
      <c r="E134" s="33">
        <v>1</v>
      </c>
      <c r="F134" s="29"/>
      <c r="G134" s="30"/>
      <c r="H134" s="30"/>
      <c r="I134" s="156"/>
      <c r="J134" s="156"/>
      <c r="K134" s="156"/>
      <c r="L134" s="156"/>
      <c r="M134" s="156"/>
      <c r="N134" s="156"/>
      <c r="O134" s="156"/>
      <c r="P134" s="156"/>
      <c r="Q134" s="156"/>
      <c r="R134" s="31"/>
      <c r="S134" s="31"/>
      <c r="T134" s="31"/>
      <c r="U134" s="31"/>
      <c r="V134" s="31"/>
      <c r="W134" s="1"/>
    </row>
    <row r="135" spans="1:23" ht="14.4" x14ac:dyDescent="0.25">
      <c r="A135" s="150"/>
      <c r="B135" s="254" t="s">
        <v>229</v>
      </c>
      <c r="C135" s="73">
        <v>1.1499999999999999</v>
      </c>
      <c r="D135" s="131">
        <v>5.38</v>
      </c>
      <c r="E135" s="33">
        <v>1</v>
      </c>
      <c r="F135" s="29"/>
      <c r="G135" s="30"/>
      <c r="H135" s="30"/>
      <c r="I135" s="156"/>
      <c r="J135" s="156"/>
      <c r="K135" s="156"/>
      <c r="L135" s="156"/>
      <c r="M135" s="156"/>
      <c r="N135" s="156"/>
      <c r="O135" s="156"/>
      <c r="P135" s="156"/>
      <c r="Q135" s="156"/>
      <c r="R135" s="31"/>
      <c r="S135" s="31"/>
      <c r="T135" s="31"/>
      <c r="U135" s="31"/>
      <c r="V135" s="31"/>
      <c r="W135" s="1"/>
    </row>
    <row r="136" spans="1:23" ht="15" thickBot="1" x14ac:dyDescent="0.3">
      <c r="A136" s="150"/>
      <c r="B136" s="275" t="s">
        <v>168</v>
      </c>
      <c r="C136" s="344">
        <v>5.67</v>
      </c>
      <c r="D136" s="328">
        <v>10.220000000000001</v>
      </c>
      <c r="E136" s="330">
        <v>1</v>
      </c>
      <c r="F136" s="330"/>
      <c r="G136" s="345"/>
      <c r="H136" s="345">
        <f t="shared" si="47"/>
        <v>5.67</v>
      </c>
      <c r="I136" s="346"/>
      <c r="J136" s="346"/>
      <c r="K136" s="346"/>
      <c r="L136" s="346"/>
      <c r="M136" s="346"/>
      <c r="N136" s="346"/>
      <c r="O136" s="346"/>
      <c r="P136" s="346"/>
      <c r="Q136" s="346"/>
      <c r="R136" s="347"/>
      <c r="S136" s="347">
        <f>H136</f>
        <v>5.67</v>
      </c>
      <c r="T136" s="347"/>
      <c r="U136" s="347">
        <f>D136*E136</f>
        <v>10.220000000000001</v>
      </c>
      <c r="V136" s="348"/>
      <c r="W136" s="1"/>
    </row>
    <row r="137" spans="1:23" ht="14.4" x14ac:dyDescent="0.25">
      <c r="A137" s="150"/>
      <c r="B137" s="318" t="s">
        <v>168</v>
      </c>
      <c r="C137" s="350">
        <v>17.350000000000001</v>
      </c>
      <c r="D137" s="322">
        <f>19.5-2</f>
        <v>17.5</v>
      </c>
      <c r="E137" s="29">
        <v>1</v>
      </c>
      <c r="F137" s="29"/>
      <c r="G137" s="30"/>
      <c r="H137" s="30">
        <f t="shared" si="47"/>
        <v>17.350000000000001</v>
      </c>
      <c r="I137" s="30"/>
      <c r="J137" s="30"/>
      <c r="K137" s="30"/>
      <c r="L137" s="30"/>
      <c r="M137" s="30"/>
      <c r="N137" s="30"/>
      <c r="O137" s="30"/>
      <c r="P137" s="30"/>
      <c r="Q137" s="30"/>
      <c r="R137" s="74"/>
      <c r="S137" s="31">
        <f t="shared" ref="S137:S138" si="55">H137</f>
        <v>17.350000000000001</v>
      </c>
      <c r="T137" s="31"/>
      <c r="U137" s="31">
        <f t="shared" ref="U137" si="56">D137*E137</f>
        <v>17.5</v>
      </c>
      <c r="V137" s="74"/>
      <c r="W137" s="1"/>
    </row>
    <row r="138" spans="1:23" ht="14.4" x14ac:dyDescent="0.25">
      <c r="A138" s="150"/>
      <c r="B138" s="317" t="s">
        <v>168</v>
      </c>
      <c r="C138" s="222">
        <v>20.7</v>
      </c>
      <c r="D138" s="131">
        <f>25.99-7.52</f>
        <v>18.47</v>
      </c>
      <c r="E138" s="33">
        <v>1</v>
      </c>
      <c r="F138" s="33"/>
      <c r="G138" s="268"/>
      <c r="H138" s="30">
        <f t="shared" si="47"/>
        <v>20.7</v>
      </c>
      <c r="I138" s="30"/>
      <c r="J138" s="30"/>
      <c r="K138" s="30"/>
      <c r="L138" s="30"/>
      <c r="M138" s="30"/>
      <c r="N138" s="30"/>
      <c r="O138" s="268"/>
      <c r="P138" s="268"/>
      <c r="Q138" s="268"/>
      <c r="R138" s="32"/>
      <c r="S138" s="31">
        <f t="shared" si="55"/>
        <v>20.7</v>
      </c>
      <c r="T138" s="31"/>
      <c r="U138" s="31"/>
      <c r="V138" s="32"/>
      <c r="W138" s="1"/>
    </row>
    <row r="139" spans="1:23" ht="14.4" x14ac:dyDescent="0.25">
      <c r="A139" s="150"/>
      <c r="B139" s="317" t="s">
        <v>332</v>
      </c>
      <c r="C139" s="222">
        <v>24.51</v>
      </c>
      <c r="D139" s="131">
        <v>27.67</v>
      </c>
      <c r="E139" s="33">
        <v>1</v>
      </c>
      <c r="F139" s="33"/>
      <c r="G139" s="268"/>
      <c r="H139" s="30">
        <f t="shared" si="47"/>
        <v>24.51</v>
      </c>
      <c r="I139" s="30"/>
      <c r="J139" s="30"/>
      <c r="K139" s="30"/>
      <c r="L139" s="30"/>
      <c r="M139" s="30"/>
      <c r="N139" s="30"/>
      <c r="O139" s="268"/>
      <c r="P139" s="268">
        <f>H139</f>
        <v>24.51</v>
      </c>
      <c r="Q139" s="268"/>
      <c r="R139" s="32"/>
      <c r="S139" s="32"/>
      <c r="T139" s="32"/>
      <c r="U139" s="32"/>
      <c r="V139" s="32"/>
      <c r="W139" s="1"/>
    </row>
    <row r="140" spans="1:23" ht="14.4" x14ac:dyDescent="0.25">
      <c r="B140" s="262" t="s">
        <v>332</v>
      </c>
      <c r="C140" s="73">
        <v>5.94</v>
      </c>
      <c r="D140" s="131"/>
      <c r="E140" s="33">
        <v>1</v>
      </c>
      <c r="F140" s="33"/>
      <c r="G140" s="268"/>
      <c r="H140" s="30">
        <f t="shared" si="47"/>
        <v>5.94</v>
      </c>
      <c r="I140" s="30"/>
      <c r="J140" s="30"/>
      <c r="K140" s="30"/>
      <c r="L140" s="30"/>
      <c r="M140" s="30"/>
      <c r="N140" s="30"/>
      <c r="O140" s="268"/>
      <c r="P140" s="268">
        <f>H140</f>
        <v>5.94</v>
      </c>
      <c r="Q140" s="268"/>
      <c r="R140" s="32"/>
      <c r="S140" s="32"/>
      <c r="T140" s="32"/>
      <c r="U140" s="32"/>
      <c r="V140" s="32"/>
      <c r="W140" s="1"/>
    </row>
    <row r="141" spans="1:23" ht="14.4" x14ac:dyDescent="0.25">
      <c r="A141" s="150"/>
      <c r="B141" s="262" t="s">
        <v>271</v>
      </c>
      <c r="C141" s="73">
        <v>11.67</v>
      </c>
      <c r="D141" s="131">
        <v>14.97</v>
      </c>
      <c r="E141" s="33">
        <v>1</v>
      </c>
      <c r="F141" s="33"/>
      <c r="G141" s="268"/>
      <c r="H141" s="30">
        <f t="shared" si="47"/>
        <v>11.67</v>
      </c>
      <c r="I141" s="30"/>
      <c r="J141" s="30"/>
      <c r="K141" s="30"/>
      <c r="L141" s="30"/>
      <c r="M141" s="30"/>
      <c r="N141" s="30"/>
      <c r="O141" s="268"/>
      <c r="P141" s="268"/>
      <c r="Q141" s="268"/>
      <c r="R141" s="32"/>
      <c r="S141" s="32">
        <f>H141</f>
        <v>11.67</v>
      </c>
      <c r="T141" s="32"/>
      <c r="U141" s="31">
        <f t="shared" ref="U141" si="57">D141*E141</f>
        <v>14.97</v>
      </c>
      <c r="V141" s="32"/>
      <c r="W141" s="1"/>
    </row>
    <row r="142" spans="1:23" ht="14.4" x14ac:dyDescent="0.25">
      <c r="A142" s="150"/>
      <c r="B142" s="262" t="s">
        <v>333</v>
      </c>
      <c r="C142" s="73">
        <v>5.9</v>
      </c>
      <c r="D142" s="131">
        <v>10.15</v>
      </c>
      <c r="E142" s="33">
        <v>1</v>
      </c>
      <c r="F142" s="33"/>
      <c r="G142" s="268"/>
      <c r="H142" s="30">
        <f t="shared" si="47"/>
        <v>5.9</v>
      </c>
      <c r="I142" s="30"/>
      <c r="J142" s="30"/>
      <c r="K142" s="30"/>
      <c r="L142" s="30"/>
      <c r="M142" s="30"/>
      <c r="N142" s="30"/>
      <c r="O142" s="268"/>
      <c r="P142" s="268"/>
      <c r="Q142" s="268"/>
      <c r="R142" s="32"/>
      <c r="S142" s="32">
        <f>H142</f>
        <v>5.9</v>
      </c>
      <c r="T142" s="32"/>
      <c r="U142" s="31"/>
      <c r="V142" s="32"/>
      <c r="W142" s="1"/>
    </row>
    <row r="143" spans="1:23" ht="14.4" x14ac:dyDescent="0.25">
      <c r="A143" s="150"/>
      <c r="B143" s="262" t="s">
        <v>213</v>
      </c>
      <c r="C143" s="73">
        <v>3</v>
      </c>
      <c r="D143" s="131">
        <v>7.4</v>
      </c>
      <c r="E143" s="33">
        <v>1</v>
      </c>
      <c r="F143" s="33"/>
      <c r="G143" s="268"/>
      <c r="H143" s="30">
        <f t="shared" si="47"/>
        <v>3</v>
      </c>
      <c r="I143" s="30"/>
      <c r="J143" s="30"/>
      <c r="K143" s="30"/>
      <c r="L143" s="30"/>
      <c r="M143" s="30"/>
      <c r="N143" s="30"/>
      <c r="O143" s="268"/>
      <c r="P143" s="268"/>
      <c r="Q143" s="268"/>
      <c r="R143" s="32">
        <f>H143</f>
        <v>3</v>
      </c>
      <c r="S143" s="32"/>
      <c r="T143" s="32"/>
      <c r="U143" s="32"/>
      <c r="V143" s="31">
        <f t="shared" ref="V143:V144" si="58">D143*E143</f>
        <v>7.4</v>
      </c>
      <c r="W143" s="1"/>
    </row>
    <row r="144" spans="1:23" ht="14.4" x14ac:dyDescent="0.25">
      <c r="A144" s="150"/>
      <c r="B144" s="262" t="s">
        <v>367</v>
      </c>
      <c r="C144" s="73">
        <v>4.49</v>
      </c>
      <c r="D144" s="131">
        <v>8.59</v>
      </c>
      <c r="E144" s="33">
        <v>2</v>
      </c>
      <c r="F144" s="33"/>
      <c r="G144" s="268"/>
      <c r="H144" s="30">
        <f t="shared" si="47"/>
        <v>8.98</v>
      </c>
      <c r="I144" s="30"/>
      <c r="J144" s="30"/>
      <c r="K144" s="30"/>
      <c r="L144" s="30"/>
      <c r="M144" s="30"/>
      <c r="N144" s="30"/>
      <c r="O144" s="268"/>
      <c r="P144" s="268"/>
      <c r="Q144" s="268"/>
      <c r="R144" s="32">
        <f>H144</f>
        <v>8.98</v>
      </c>
      <c r="S144" s="32"/>
      <c r="T144" s="32"/>
      <c r="U144" s="32"/>
      <c r="V144" s="31">
        <f t="shared" si="58"/>
        <v>17.18</v>
      </c>
      <c r="W144" s="1"/>
    </row>
    <row r="145" spans="1:23" ht="14.4" x14ac:dyDescent="0.25">
      <c r="A145" s="150"/>
      <c r="B145" s="262" t="s">
        <v>168</v>
      </c>
      <c r="C145" s="73">
        <v>6.29</v>
      </c>
      <c r="D145" s="131">
        <f>12.89-1.2</f>
        <v>11.690000000000001</v>
      </c>
      <c r="E145" s="33">
        <v>1</v>
      </c>
      <c r="F145" s="33"/>
      <c r="G145" s="268"/>
      <c r="H145" s="30">
        <f t="shared" si="47"/>
        <v>6.29</v>
      </c>
      <c r="I145" s="30"/>
      <c r="J145" s="30"/>
      <c r="K145" s="30"/>
      <c r="L145" s="30"/>
      <c r="M145" s="30"/>
      <c r="N145" s="30"/>
      <c r="O145" s="268"/>
      <c r="P145" s="268"/>
      <c r="Q145" s="268"/>
      <c r="R145" s="32"/>
      <c r="S145" s="32">
        <f>H145</f>
        <v>6.29</v>
      </c>
      <c r="T145" s="31"/>
      <c r="U145" s="31"/>
      <c r="V145" s="32"/>
      <c r="W145" s="1"/>
    </row>
    <row r="146" spans="1:23" ht="14.4" x14ac:dyDescent="0.25">
      <c r="A146" s="150"/>
      <c r="B146" s="262" t="s">
        <v>334</v>
      </c>
      <c r="C146" s="73">
        <v>3.36</v>
      </c>
      <c r="D146" s="131">
        <v>8</v>
      </c>
      <c r="E146" s="33">
        <v>1</v>
      </c>
      <c r="F146" s="33"/>
      <c r="G146" s="268"/>
      <c r="H146" s="30">
        <f t="shared" si="47"/>
        <v>3.36</v>
      </c>
      <c r="I146" s="30"/>
      <c r="J146" s="30"/>
      <c r="K146" s="30"/>
      <c r="L146" s="30"/>
      <c r="M146" s="30"/>
      <c r="N146" s="30"/>
      <c r="O146" s="268"/>
      <c r="P146" s="268"/>
      <c r="Q146" s="268"/>
      <c r="R146" s="32"/>
      <c r="S146" s="31">
        <f t="shared" ref="S146:S149" si="59">H146</f>
        <v>3.36</v>
      </c>
      <c r="T146" s="32"/>
      <c r="U146" s="31">
        <f t="shared" ref="U146" si="60">D146*E146</f>
        <v>8</v>
      </c>
      <c r="V146" s="32"/>
      <c r="W146" s="1"/>
    </row>
    <row r="147" spans="1:23" ht="14.4" x14ac:dyDescent="0.25">
      <c r="A147" s="150"/>
      <c r="B147" s="262" t="s">
        <v>335</v>
      </c>
      <c r="C147" s="73">
        <v>6.26</v>
      </c>
      <c r="D147" s="131">
        <v>10.35</v>
      </c>
      <c r="E147" s="33">
        <v>1</v>
      </c>
      <c r="F147" s="33"/>
      <c r="G147" s="268"/>
      <c r="H147" s="30">
        <f t="shared" si="47"/>
        <v>6.26</v>
      </c>
      <c r="I147" s="30"/>
      <c r="J147" s="30"/>
      <c r="K147" s="30"/>
      <c r="L147" s="30"/>
      <c r="M147" s="30"/>
      <c r="N147" s="30"/>
      <c r="O147" s="268"/>
      <c r="P147" s="268"/>
      <c r="Q147" s="268"/>
      <c r="R147" s="32"/>
      <c r="S147" s="31">
        <f t="shared" si="59"/>
        <v>6.26</v>
      </c>
      <c r="T147" s="32"/>
      <c r="U147" s="31"/>
      <c r="V147" s="32"/>
      <c r="W147" s="1"/>
    </row>
    <row r="148" spans="1:23" ht="14.4" x14ac:dyDescent="0.25">
      <c r="A148" s="150"/>
      <c r="B148" s="317" t="s">
        <v>168</v>
      </c>
      <c r="C148" s="222">
        <v>4.38</v>
      </c>
      <c r="D148" s="131">
        <f>9.7-1.2</f>
        <v>8.5</v>
      </c>
      <c r="E148" s="33">
        <v>1</v>
      </c>
      <c r="F148" s="33"/>
      <c r="G148" s="268"/>
      <c r="H148" s="30">
        <f t="shared" si="47"/>
        <v>4.38</v>
      </c>
      <c r="I148" s="30"/>
      <c r="J148" s="30"/>
      <c r="K148" s="30"/>
      <c r="L148" s="30"/>
      <c r="M148" s="30"/>
      <c r="N148" s="30"/>
      <c r="O148" s="268"/>
      <c r="P148" s="268"/>
      <c r="Q148" s="268"/>
      <c r="R148" s="32"/>
      <c r="S148" s="31">
        <f t="shared" si="59"/>
        <v>4.38</v>
      </c>
      <c r="T148" s="31"/>
      <c r="U148" s="31"/>
      <c r="V148" s="32"/>
      <c r="W148" s="1"/>
    </row>
    <row r="149" spans="1:23" ht="14.4" x14ac:dyDescent="0.25">
      <c r="A149" s="150"/>
      <c r="B149" s="317" t="s">
        <v>168</v>
      </c>
      <c r="C149" s="222">
        <v>6.56</v>
      </c>
      <c r="D149" s="131">
        <f>10.89-1.2</f>
        <v>9.6900000000000013</v>
      </c>
      <c r="E149" s="33">
        <v>1</v>
      </c>
      <c r="F149" s="33"/>
      <c r="G149" s="268"/>
      <c r="H149" s="30">
        <f t="shared" si="47"/>
        <v>6.56</v>
      </c>
      <c r="I149" s="30"/>
      <c r="J149" s="30"/>
      <c r="K149" s="30"/>
      <c r="L149" s="30"/>
      <c r="M149" s="30"/>
      <c r="N149" s="30"/>
      <c r="O149" s="268"/>
      <c r="P149" s="268"/>
      <c r="Q149" s="268"/>
      <c r="R149" s="32"/>
      <c r="S149" s="31">
        <f t="shared" si="59"/>
        <v>6.56</v>
      </c>
      <c r="T149" s="31"/>
      <c r="U149" s="31"/>
      <c r="V149" s="32"/>
      <c r="W149" s="1"/>
    </row>
    <row r="150" spans="1:23" ht="14.4" x14ac:dyDescent="0.25">
      <c r="A150" s="150"/>
      <c r="B150" s="262" t="s">
        <v>336</v>
      </c>
      <c r="C150" s="73">
        <v>7.01</v>
      </c>
      <c r="D150" s="131">
        <v>10.84</v>
      </c>
      <c r="E150" s="33">
        <v>1</v>
      </c>
      <c r="F150" s="33"/>
      <c r="G150" s="268"/>
      <c r="H150" s="30">
        <f t="shared" si="47"/>
        <v>7.01</v>
      </c>
      <c r="I150" s="30"/>
      <c r="J150" s="30"/>
      <c r="K150" s="30"/>
      <c r="L150" s="30"/>
      <c r="M150" s="30"/>
      <c r="N150" s="30"/>
      <c r="O150" s="268"/>
      <c r="P150" s="268"/>
      <c r="Q150" s="268"/>
      <c r="R150" s="32"/>
      <c r="S150" s="31">
        <f t="shared" ref="S150:S157" si="61">H150</f>
        <v>7.01</v>
      </c>
      <c r="T150" s="32"/>
      <c r="U150" s="31">
        <f t="shared" ref="U150" si="62">D150*E150</f>
        <v>10.84</v>
      </c>
      <c r="V150" s="32"/>
      <c r="W150" s="1"/>
    </row>
    <row r="151" spans="1:23" ht="14.4" x14ac:dyDescent="0.25">
      <c r="A151" s="150"/>
      <c r="B151" s="262" t="s">
        <v>158</v>
      </c>
      <c r="C151" s="73">
        <v>3.11</v>
      </c>
      <c r="D151" s="131">
        <v>7.19</v>
      </c>
      <c r="E151" s="33">
        <v>1</v>
      </c>
      <c r="F151" s="33"/>
      <c r="G151" s="268"/>
      <c r="H151" s="30">
        <f t="shared" si="47"/>
        <v>3.11</v>
      </c>
      <c r="I151" s="30"/>
      <c r="J151" s="30"/>
      <c r="K151" s="30"/>
      <c r="L151" s="30"/>
      <c r="M151" s="30"/>
      <c r="N151" s="30"/>
      <c r="O151" s="268"/>
      <c r="P151" s="268"/>
      <c r="Q151" s="156">
        <f>H151</f>
        <v>3.11</v>
      </c>
      <c r="R151" s="32"/>
      <c r="S151" s="32"/>
      <c r="T151" s="32"/>
      <c r="U151" s="32"/>
      <c r="V151" s="32"/>
      <c r="W151" s="1"/>
    </row>
    <row r="152" spans="1:23" ht="14.4" x14ac:dyDescent="0.25">
      <c r="A152" s="150"/>
      <c r="B152" s="262" t="s">
        <v>337</v>
      </c>
      <c r="C152" s="73">
        <v>39.28</v>
      </c>
      <c r="D152" s="131">
        <v>28.24</v>
      </c>
      <c r="E152" s="33">
        <v>1</v>
      </c>
      <c r="F152" s="33"/>
      <c r="G152" s="268"/>
      <c r="H152" s="30">
        <f t="shared" si="47"/>
        <v>39.28</v>
      </c>
      <c r="I152" s="30"/>
      <c r="J152" s="30"/>
      <c r="K152" s="30"/>
      <c r="L152" s="30"/>
      <c r="M152" s="30"/>
      <c r="N152" s="30"/>
      <c r="O152" s="268"/>
      <c r="P152" s="268"/>
      <c r="Q152" s="268"/>
      <c r="R152" s="32"/>
      <c r="S152" s="31">
        <f t="shared" si="61"/>
        <v>39.28</v>
      </c>
      <c r="T152" s="32"/>
      <c r="U152" s="31"/>
      <c r="V152" s="32"/>
      <c r="W152" s="1"/>
    </row>
    <row r="153" spans="1:23" ht="14.4" x14ac:dyDescent="0.25">
      <c r="A153" s="150"/>
      <c r="B153" s="317" t="s">
        <v>338</v>
      </c>
      <c r="C153" s="222">
        <v>28.19</v>
      </c>
      <c r="D153" s="131">
        <f>23.4-1.31</f>
        <v>22.09</v>
      </c>
      <c r="E153" s="33">
        <v>1</v>
      </c>
      <c r="F153" s="33"/>
      <c r="G153" s="268"/>
      <c r="H153" s="30">
        <f t="shared" si="47"/>
        <v>28.19</v>
      </c>
      <c r="I153" s="30"/>
      <c r="J153" s="30"/>
      <c r="K153" s="30"/>
      <c r="L153" s="30"/>
      <c r="M153" s="30"/>
      <c r="N153" s="30"/>
      <c r="O153" s="268"/>
      <c r="P153" s="268"/>
      <c r="Q153" s="268"/>
      <c r="R153" s="32"/>
      <c r="S153" s="31">
        <f t="shared" si="61"/>
        <v>28.19</v>
      </c>
      <c r="T153" s="32"/>
      <c r="U153" s="31"/>
      <c r="V153" s="32"/>
      <c r="W153" s="1"/>
    </row>
    <row r="154" spans="1:23" ht="14.4" x14ac:dyDescent="0.25">
      <c r="A154" s="150"/>
      <c r="B154" s="317" t="s">
        <v>339</v>
      </c>
      <c r="C154" s="222">
        <v>22.96</v>
      </c>
      <c r="D154" s="131">
        <f>19.62-2.2</f>
        <v>17.420000000000002</v>
      </c>
      <c r="E154" s="33">
        <v>1</v>
      </c>
      <c r="F154" s="33"/>
      <c r="G154" s="268"/>
      <c r="H154" s="30">
        <f t="shared" si="47"/>
        <v>22.96</v>
      </c>
      <c r="I154" s="30"/>
      <c r="J154" s="30"/>
      <c r="K154" s="30"/>
      <c r="L154" s="30"/>
      <c r="M154" s="30"/>
      <c r="N154" s="30"/>
      <c r="O154" s="268"/>
      <c r="P154" s="268"/>
      <c r="Q154" s="268"/>
      <c r="R154" s="32"/>
      <c r="S154" s="31">
        <f t="shared" si="61"/>
        <v>22.96</v>
      </c>
      <c r="T154" s="32"/>
      <c r="U154" s="31"/>
      <c r="V154" s="32"/>
      <c r="W154" s="1"/>
    </row>
    <row r="155" spans="1:23" ht="14.4" x14ac:dyDescent="0.25">
      <c r="A155" s="150"/>
      <c r="B155" s="262" t="s">
        <v>340</v>
      </c>
      <c r="C155" s="73">
        <v>34.119999999999997</v>
      </c>
      <c r="D155" s="131">
        <f>25.77-1.3</f>
        <v>24.47</v>
      </c>
      <c r="E155" s="33">
        <v>1</v>
      </c>
      <c r="F155" s="33"/>
      <c r="G155" s="268"/>
      <c r="H155" s="30">
        <f t="shared" si="47"/>
        <v>34.119999999999997</v>
      </c>
      <c r="I155" s="30"/>
      <c r="J155" s="30"/>
      <c r="K155" s="30"/>
      <c r="L155" s="30"/>
      <c r="M155" s="30"/>
      <c r="N155" s="30"/>
      <c r="O155" s="268"/>
      <c r="P155" s="268"/>
      <c r="Q155" s="268"/>
      <c r="R155" s="32"/>
      <c r="S155" s="31">
        <f t="shared" si="61"/>
        <v>34.119999999999997</v>
      </c>
      <c r="T155" s="32"/>
      <c r="U155" s="31"/>
      <c r="V155" s="32"/>
      <c r="W155" s="1"/>
    </row>
    <row r="156" spans="1:23" ht="14.4" x14ac:dyDescent="0.25">
      <c r="A156" s="150"/>
      <c r="B156" s="262" t="s">
        <v>341</v>
      </c>
      <c r="C156" s="73">
        <v>2.5299999999999998</v>
      </c>
      <c r="D156" s="131">
        <f>10.62-4.21</f>
        <v>6.4099999999999993</v>
      </c>
      <c r="E156" s="33">
        <v>1</v>
      </c>
      <c r="F156" s="33"/>
      <c r="G156" s="268"/>
      <c r="H156" s="30">
        <f t="shared" si="47"/>
        <v>2.5299999999999998</v>
      </c>
      <c r="I156" s="30"/>
      <c r="J156" s="30"/>
      <c r="K156" s="30"/>
      <c r="L156" s="30"/>
      <c r="M156" s="30"/>
      <c r="N156" s="30"/>
      <c r="O156" s="268"/>
      <c r="P156" s="268"/>
      <c r="Q156" s="268"/>
      <c r="R156" s="32"/>
      <c r="S156" s="31">
        <f t="shared" si="61"/>
        <v>2.5299999999999998</v>
      </c>
      <c r="T156" s="32"/>
      <c r="U156" s="31"/>
      <c r="V156" s="32"/>
      <c r="W156" s="1"/>
    </row>
    <row r="157" spans="1:23" ht="14.4" x14ac:dyDescent="0.25">
      <c r="A157" s="150"/>
      <c r="B157" s="317" t="s">
        <v>342</v>
      </c>
      <c r="C157" s="222">
        <v>20.89</v>
      </c>
      <c r="D157" s="131">
        <f>19.57-1.43</f>
        <v>18.14</v>
      </c>
      <c r="E157" s="33">
        <v>1</v>
      </c>
      <c r="F157" s="33"/>
      <c r="G157" s="268"/>
      <c r="H157" s="30">
        <f t="shared" si="47"/>
        <v>20.89</v>
      </c>
      <c r="I157" s="30"/>
      <c r="J157" s="30"/>
      <c r="K157" s="30"/>
      <c r="L157" s="30"/>
      <c r="M157" s="30"/>
      <c r="N157" s="30"/>
      <c r="O157" s="268"/>
      <c r="P157" s="268"/>
      <c r="Q157" s="268"/>
      <c r="R157" s="32"/>
      <c r="S157" s="31">
        <f t="shared" si="61"/>
        <v>20.89</v>
      </c>
      <c r="T157" s="32"/>
      <c r="U157" s="31">
        <f t="shared" ref="U157" si="63">D157*E157</f>
        <v>18.14</v>
      </c>
      <c r="V157" s="32"/>
      <c r="W157" s="1"/>
    </row>
    <row r="158" spans="1:23" ht="14.4" x14ac:dyDescent="0.25">
      <c r="A158" s="150"/>
      <c r="B158" s="262" t="s">
        <v>257</v>
      </c>
      <c r="C158" s="73">
        <v>5.17</v>
      </c>
      <c r="D158" s="131">
        <v>9.1</v>
      </c>
      <c r="E158" s="33">
        <v>1</v>
      </c>
      <c r="F158" s="33"/>
      <c r="G158" s="268"/>
      <c r="H158" s="30">
        <f t="shared" si="47"/>
        <v>5.17</v>
      </c>
      <c r="I158" s="30"/>
      <c r="J158" s="30"/>
      <c r="K158" s="30"/>
      <c r="L158" s="30"/>
      <c r="M158" s="30"/>
      <c r="N158" s="30"/>
      <c r="O158" s="268"/>
      <c r="P158" s="268"/>
      <c r="Q158" s="268">
        <f>H158</f>
        <v>5.17</v>
      </c>
      <c r="R158" s="32"/>
      <c r="S158" s="32"/>
      <c r="T158" s="32"/>
      <c r="U158" s="32"/>
      <c r="V158" s="32"/>
      <c r="W158" s="1"/>
    </row>
    <row r="159" spans="1:23" ht="14.4" x14ac:dyDescent="0.25">
      <c r="A159" s="150"/>
      <c r="B159" s="262" t="s">
        <v>343</v>
      </c>
      <c r="C159" s="73">
        <v>8.6</v>
      </c>
      <c r="D159" s="131">
        <v>12.22</v>
      </c>
      <c r="E159" s="33">
        <v>1</v>
      </c>
      <c r="F159" s="33"/>
      <c r="G159" s="268"/>
      <c r="H159" s="30">
        <f t="shared" si="47"/>
        <v>8.6</v>
      </c>
      <c r="I159" s="30"/>
      <c r="J159" s="30"/>
      <c r="K159" s="30"/>
      <c r="L159" s="30"/>
      <c r="M159" s="30"/>
      <c r="N159" s="30"/>
      <c r="O159" s="268"/>
      <c r="P159" s="268"/>
      <c r="Q159" s="268"/>
      <c r="R159" s="32"/>
      <c r="S159" s="32">
        <f>H159</f>
        <v>8.6</v>
      </c>
      <c r="T159" s="32"/>
      <c r="U159" s="31">
        <f t="shared" ref="U159:U160" si="64">D159*E159</f>
        <v>12.22</v>
      </c>
      <c r="V159" s="32"/>
      <c r="W159" s="1"/>
    </row>
    <row r="160" spans="1:23" ht="14.4" x14ac:dyDescent="0.25">
      <c r="A160" s="150"/>
      <c r="B160" s="317" t="s">
        <v>247</v>
      </c>
      <c r="C160" s="222">
        <v>4.8600000000000003</v>
      </c>
      <c r="D160" s="131">
        <v>9.07</v>
      </c>
      <c r="E160" s="33">
        <v>1</v>
      </c>
      <c r="F160" s="33"/>
      <c r="G160" s="268"/>
      <c r="H160" s="30">
        <f t="shared" si="47"/>
        <v>4.8600000000000003</v>
      </c>
      <c r="I160" s="30"/>
      <c r="J160" s="30"/>
      <c r="K160" s="30"/>
      <c r="L160" s="30"/>
      <c r="M160" s="30"/>
      <c r="N160" s="30"/>
      <c r="O160" s="268"/>
      <c r="P160" s="268"/>
      <c r="Q160" s="268"/>
      <c r="R160" s="32"/>
      <c r="S160" s="32">
        <f>H160</f>
        <v>4.8600000000000003</v>
      </c>
      <c r="T160" s="32"/>
      <c r="U160" s="31">
        <f t="shared" si="64"/>
        <v>9.07</v>
      </c>
      <c r="V160" s="32"/>
      <c r="W160" s="1"/>
    </row>
    <row r="161" spans="1:23" ht="14.4" x14ac:dyDescent="0.25">
      <c r="A161" s="150"/>
      <c r="B161" s="262" t="s">
        <v>168</v>
      </c>
      <c r="C161" s="73">
        <v>4.4400000000000004</v>
      </c>
      <c r="D161" s="131">
        <f>9.8-1.2</f>
        <v>8.6000000000000014</v>
      </c>
      <c r="E161" s="33">
        <v>1</v>
      </c>
      <c r="F161" s="33"/>
      <c r="G161" s="268"/>
      <c r="H161" s="30">
        <f t="shared" si="47"/>
        <v>4.4400000000000004</v>
      </c>
      <c r="I161" s="30"/>
      <c r="J161" s="30"/>
      <c r="K161" s="30"/>
      <c r="L161" s="30"/>
      <c r="M161" s="30"/>
      <c r="N161" s="30"/>
      <c r="O161" s="268"/>
      <c r="P161" s="268"/>
      <c r="Q161" s="268"/>
      <c r="R161" s="32"/>
      <c r="S161" s="31">
        <f t="shared" ref="S161:S164" si="65">H161</f>
        <v>4.4400000000000004</v>
      </c>
      <c r="T161" s="31"/>
      <c r="U161" s="31">
        <f t="shared" ref="U161:U164" si="66">D161*E161</f>
        <v>8.6000000000000014</v>
      </c>
      <c r="V161" s="32"/>
      <c r="W161" s="1"/>
    </row>
    <row r="162" spans="1:23" ht="14.4" x14ac:dyDescent="0.25">
      <c r="A162" s="150"/>
      <c r="B162" s="262" t="s">
        <v>344</v>
      </c>
      <c r="C162" s="73">
        <v>3.36</v>
      </c>
      <c r="D162" s="131">
        <v>7.45</v>
      </c>
      <c r="E162" s="33">
        <v>1</v>
      </c>
      <c r="F162" s="33"/>
      <c r="G162" s="268"/>
      <c r="H162" s="30">
        <f t="shared" si="47"/>
        <v>3.36</v>
      </c>
      <c r="I162" s="30"/>
      <c r="J162" s="30"/>
      <c r="K162" s="30"/>
      <c r="L162" s="30"/>
      <c r="M162" s="30"/>
      <c r="N162" s="30"/>
      <c r="O162" s="268"/>
      <c r="P162" s="268"/>
      <c r="Q162" s="268"/>
      <c r="R162" s="32"/>
      <c r="S162" s="31">
        <f t="shared" si="65"/>
        <v>3.36</v>
      </c>
      <c r="T162" s="32"/>
      <c r="U162" s="31"/>
      <c r="V162" s="32"/>
      <c r="W162" s="1"/>
    </row>
    <row r="163" spans="1:23" ht="14.4" x14ac:dyDescent="0.25">
      <c r="A163" s="150"/>
      <c r="B163" s="262" t="s">
        <v>614</v>
      </c>
      <c r="C163" s="73">
        <v>12.9</v>
      </c>
      <c r="D163" s="131">
        <v>15.32</v>
      </c>
      <c r="E163" s="33">
        <v>1</v>
      </c>
      <c r="F163" s="33"/>
      <c r="G163" s="268"/>
      <c r="H163" s="30">
        <f t="shared" ref="H163:H166" si="67">C163*E163</f>
        <v>12.9</v>
      </c>
      <c r="I163" s="30"/>
      <c r="J163" s="30"/>
      <c r="K163" s="30"/>
      <c r="L163" s="30"/>
      <c r="M163" s="30"/>
      <c r="N163" s="30"/>
      <c r="O163" s="268"/>
      <c r="P163" s="268"/>
      <c r="Q163" s="268"/>
      <c r="R163" s="32"/>
      <c r="S163" s="31">
        <f t="shared" si="65"/>
        <v>12.9</v>
      </c>
      <c r="T163" s="32"/>
      <c r="U163" s="31"/>
      <c r="V163" s="32"/>
      <c r="W163" s="1"/>
    </row>
    <row r="164" spans="1:23" ht="14.4" x14ac:dyDescent="0.25">
      <c r="A164" s="150"/>
      <c r="B164" s="317" t="s">
        <v>205</v>
      </c>
      <c r="C164" s="222">
        <v>4.54</v>
      </c>
      <c r="D164" s="131">
        <f>8.57-1.93</f>
        <v>6.6400000000000006</v>
      </c>
      <c r="E164" s="33">
        <v>1</v>
      </c>
      <c r="F164" s="33"/>
      <c r="G164" s="268"/>
      <c r="H164" s="30">
        <f t="shared" si="67"/>
        <v>4.54</v>
      </c>
      <c r="I164" s="30"/>
      <c r="J164" s="30"/>
      <c r="K164" s="30"/>
      <c r="L164" s="30"/>
      <c r="M164" s="30"/>
      <c r="N164" s="30"/>
      <c r="O164" s="268"/>
      <c r="P164" s="268"/>
      <c r="Q164" s="268"/>
      <c r="R164" s="32"/>
      <c r="S164" s="31">
        <f t="shared" si="65"/>
        <v>4.54</v>
      </c>
      <c r="T164" s="32"/>
      <c r="U164" s="31">
        <f t="shared" si="66"/>
        <v>6.6400000000000006</v>
      </c>
      <c r="V164" s="32"/>
      <c r="W164" s="1"/>
    </row>
    <row r="165" spans="1:23" ht="14.4" x14ac:dyDescent="0.25">
      <c r="A165" s="150"/>
      <c r="B165" s="277" t="s">
        <v>612</v>
      </c>
      <c r="C165" s="73">
        <v>8.2799999999999994</v>
      </c>
      <c r="D165" s="131">
        <v>11.52</v>
      </c>
      <c r="E165" s="33">
        <v>1</v>
      </c>
      <c r="F165" s="33"/>
      <c r="G165" s="268"/>
      <c r="H165" s="30">
        <f t="shared" si="67"/>
        <v>8.2799999999999994</v>
      </c>
      <c r="I165" s="30"/>
      <c r="J165" s="30"/>
      <c r="K165" s="30"/>
      <c r="L165" s="30"/>
      <c r="M165" s="30"/>
      <c r="N165" s="30"/>
      <c r="O165" s="268"/>
      <c r="P165" s="268">
        <f>H165</f>
        <v>8.2799999999999994</v>
      </c>
      <c r="Q165" s="268"/>
      <c r="R165" s="32"/>
      <c r="S165" s="32"/>
      <c r="T165" s="32"/>
      <c r="U165" s="32"/>
      <c r="V165" s="32"/>
      <c r="W165" s="1"/>
    </row>
    <row r="166" spans="1:23" ht="14.4" x14ac:dyDescent="0.25">
      <c r="A166" s="150"/>
      <c r="B166" s="277" t="s">
        <v>613</v>
      </c>
      <c r="C166" s="150">
        <v>8.27</v>
      </c>
      <c r="D166" s="131">
        <v>11.51</v>
      </c>
      <c r="E166" s="33">
        <v>1</v>
      </c>
      <c r="F166" s="33"/>
      <c r="G166" s="268"/>
      <c r="H166" s="268">
        <f t="shared" si="67"/>
        <v>8.27</v>
      </c>
      <c r="I166" s="268"/>
      <c r="J166" s="268"/>
      <c r="K166" s="268"/>
      <c r="L166" s="268"/>
      <c r="M166" s="268"/>
      <c r="N166" s="268"/>
      <c r="O166" s="268"/>
      <c r="P166" s="268">
        <f>H166</f>
        <v>8.27</v>
      </c>
      <c r="Q166" s="268"/>
      <c r="R166" s="32"/>
      <c r="S166" s="32"/>
      <c r="T166" s="32"/>
      <c r="U166" s="32"/>
      <c r="V166" s="32"/>
      <c r="W166" s="1"/>
    </row>
    <row r="167" spans="1:23" ht="19.95" customHeight="1" x14ac:dyDescent="0.25">
      <c r="B167" s="128" t="s">
        <v>22</v>
      </c>
      <c r="C167" s="129">
        <f>SUM(C93:C166)</f>
        <v>948.63999999999987</v>
      </c>
      <c r="D167" s="129"/>
      <c r="E167" s="129"/>
      <c r="F167" s="129"/>
      <c r="G167" s="129">
        <f t="shared" ref="G167:V167" si="68">SUM(G93:G166)</f>
        <v>0</v>
      </c>
      <c r="H167" s="129">
        <f t="shared" si="68"/>
        <v>952.29999999999984</v>
      </c>
      <c r="I167" s="129">
        <f t="shared" si="68"/>
        <v>0</v>
      </c>
      <c r="J167" s="129">
        <f t="shared" si="68"/>
        <v>0</v>
      </c>
      <c r="K167" s="129">
        <f t="shared" si="68"/>
        <v>0</v>
      </c>
      <c r="L167" s="129">
        <f t="shared" si="68"/>
        <v>0</v>
      </c>
      <c r="M167" s="129">
        <f t="shared" si="68"/>
        <v>0</v>
      </c>
      <c r="N167" s="129">
        <f t="shared" si="68"/>
        <v>0</v>
      </c>
      <c r="O167" s="129">
        <f t="shared" si="68"/>
        <v>0</v>
      </c>
      <c r="P167" s="129">
        <f t="shared" si="68"/>
        <v>47</v>
      </c>
      <c r="Q167" s="129">
        <f t="shared" si="68"/>
        <v>14.19</v>
      </c>
      <c r="R167" s="129">
        <f t="shared" si="68"/>
        <v>32.6</v>
      </c>
      <c r="S167" s="129">
        <f t="shared" si="68"/>
        <v>858.50999999999988</v>
      </c>
      <c r="T167" s="129">
        <f t="shared" si="68"/>
        <v>0</v>
      </c>
      <c r="U167" s="129">
        <f t="shared" si="68"/>
        <v>729.44000000000028</v>
      </c>
      <c r="V167" s="129">
        <f t="shared" si="68"/>
        <v>60.97</v>
      </c>
      <c r="W167" s="1"/>
    </row>
    <row r="168" spans="1:23" ht="19.95" customHeight="1" x14ac:dyDescent="0.25">
      <c r="B168" s="264"/>
      <c r="C168" s="265"/>
      <c r="D168" s="266"/>
      <c r="E168" s="129"/>
      <c r="F168" s="129"/>
      <c r="G168" s="129"/>
      <c r="H168" s="129"/>
      <c r="I168" s="141">
        <v>7</v>
      </c>
      <c r="J168" s="141">
        <v>8</v>
      </c>
      <c r="K168" s="141">
        <v>9</v>
      </c>
      <c r="L168" s="141">
        <v>12</v>
      </c>
      <c r="M168" s="141">
        <v>13</v>
      </c>
      <c r="N168" s="141">
        <v>14</v>
      </c>
      <c r="O168" s="224">
        <v>5</v>
      </c>
      <c r="P168" s="224">
        <v>4</v>
      </c>
      <c r="Q168" s="224">
        <v>2</v>
      </c>
      <c r="R168" s="224">
        <v>3</v>
      </c>
      <c r="S168" s="224">
        <v>1</v>
      </c>
      <c r="T168" s="224">
        <v>5</v>
      </c>
      <c r="U168" s="224">
        <v>1</v>
      </c>
      <c r="V168" s="224">
        <v>3</v>
      </c>
      <c r="W168" s="1"/>
    </row>
    <row r="169" spans="1:23" ht="49.95" customHeight="1" x14ac:dyDescent="0.25">
      <c r="B169" s="843" t="s">
        <v>16</v>
      </c>
      <c r="C169" s="838" t="s">
        <v>17</v>
      </c>
      <c r="D169" s="839" t="s">
        <v>18</v>
      </c>
      <c r="E169" s="842" t="s">
        <v>19</v>
      </c>
      <c r="F169" s="842" t="s">
        <v>13</v>
      </c>
      <c r="G169" s="842" t="s">
        <v>20</v>
      </c>
      <c r="H169" s="842" t="s">
        <v>21</v>
      </c>
      <c r="I169" s="855" t="s">
        <v>866</v>
      </c>
      <c r="J169" s="846" t="s">
        <v>867</v>
      </c>
      <c r="K169" s="855" t="s">
        <v>865</v>
      </c>
      <c r="L169" s="846" t="s">
        <v>868</v>
      </c>
      <c r="M169" s="846" t="s">
        <v>869</v>
      </c>
      <c r="N169" s="846" t="s">
        <v>870</v>
      </c>
      <c r="O169" s="838" t="s">
        <v>81</v>
      </c>
      <c r="P169" s="838" t="s">
        <v>80</v>
      </c>
      <c r="Q169" s="838" t="s">
        <v>70</v>
      </c>
      <c r="R169" s="838" t="s">
        <v>79</v>
      </c>
      <c r="S169" s="838" t="s">
        <v>78</v>
      </c>
      <c r="T169" s="848" t="s">
        <v>75</v>
      </c>
      <c r="U169" s="848" t="s">
        <v>71</v>
      </c>
      <c r="V169" s="848" t="s">
        <v>74</v>
      </c>
    </row>
    <row r="170" spans="1:23" ht="49.95" customHeight="1" x14ac:dyDescent="0.25">
      <c r="B170" s="852"/>
      <c r="C170" s="842"/>
      <c r="D170" s="838"/>
      <c r="E170" s="842"/>
      <c r="F170" s="842"/>
      <c r="G170" s="842"/>
      <c r="H170" s="842"/>
      <c r="I170" s="856"/>
      <c r="J170" s="847"/>
      <c r="K170" s="856"/>
      <c r="L170" s="847"/>
      <c r="M170" s="847"/>
      <c r="N170" s="847"/>
      <c r="O170" s="839"/>
      <c r="P170" s="839"/>
      <c r="Q170" s="839"/>
      <c r="R170" s="839"/>
      <c r="S170" s="839"/>
      <c r="T170" s="849"/>
      <c r="U170" s="849"/>
      <c r="V170" s="849"/>
    </row>
    <row r="171" spans="1:23" ht="15.6" x14ac:dyDescent="0.25">
      <c r="A171" s="141" t="s">
        <v>64</v>
      </c>
      <c r="B171" s="59" t="s">
        <v>59</v>
      </c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1"/>
    </row>
    <row r="172" spans="1:23" ht="14.4" x14ac:dyDescent="0.25">
      <c r="B172" s="220" t="s">
        <v>168</v>
      </c>
      <c r="C172" s="603">
        <v>11.67</v>
      </c>
      <c r="D172" s="576">
        <v>14.83</v>
      </c>
      <c r="E172" s="33">
        <v>1</v>
      </c>
      <c r="F172" s="574"/>
      <c r="G172" s="574"/>
      <c r="H172" s="30">
        <f t="shared" ref="H172:H178" si="69">C172*E172</f>
        <v>11.67</v>
      </c>
      <c r="I172" s="30"/>
      <c r="J172" s="30"/>
      <c r="K172" s="30"/>
      <c r="L172" s="30"/>
      <c r="M172" s="30"/>
      <c r="N172" s="30"/>
      <c r="O172" s="574"/>
      <c r="P172" s="574"/>
      <c r="Q172" s="574"/>
      <c r="R172" s="574"/>
      <c r="S172" s="578">
        <f>H172</f>
        <v>11.67</v>
      </c>
      <c r="T172" s="574"/>
      <c r="U172" s="31">
        <f t="shared" ref="U172:U173" si="70">D172*E172</f>
        <v>14.83</v>
      </c>
      <c r="V172" s="574"/>
      <c r="W172" s="1"/>
    </row>
    <row r="173" spans="1:23" ht="14.4" x14ac:dyDescent="0.25">
      <c r="B173" s="220" t="s">
        <v>258</v>
      </c>
      <c r="C173" s="603">
        <v>30.52</v>
      </c>
      <c r="D173" s="576">
        <v>25.97</v>
      </c>
      <c r="E173" s="33">
        <v>1</v>
      </c>
      <c r="F173" s="574"/>
      <c r="G173" s="574"/>
      <c r="H173" s="30">
        <f t="shared" si="69"/>
        <v>30.52</v>
      </c>
      <c r="I173" s="30"/>
      <c r="J173" s="30"/>
      <c r="K173" s="30"/>
      <c r="L173" s="30"/>
      <c r="M173" s="30"/>
      <c r="N173" s="30"/>
      <c r="O173" s="574"/>
      <c r="P173" s="574"/>
      <c r="Q173" s="574"/>
      <c r="R173" s="574"/>
      <c r="S173" s="578">
        <f>H173</f>
        <v>30.52</v>
      </c>
      <c r="T173" s="574"/>
      <c r="U173" s="31">
        <f t="shared" si="70"/>
        <v>25.97</v>
      </c>
      <c r="V173" s="574"/>
      <c r="W173" s="1"/>
    </row>
    <row r="174" spans="1:23" ht="14.4" x14ac:dyDescent="0.25">
      <c r="B174" s="157" t="s">
        <v>346</v>
      </c>
      <c r="C174" s="566">
        <v>43.48</v>
      </c>
      <c r="D174" s="576">
        <v>27.85</v>
      </c>
      <c r="E174" s="33">
        <v>1</v>
      </c>
      <c r="F174" s="574"/>
      <c r="G174" s="574"/>
      <c r="H174" s="30">
        <f t="shared" si="69"/>
        <v>43.48</v>
      </c>
      <c r="I174" s="30"/>
      <c r="J174" s="30"/>
      <c r="K174" s="30"/>
      <c r="L174" s="30"/>
      <c r="M174" s="30"/>
      <c r="N174" s="30"/>
      <c r="O174" s="574"/>
      <c r="P174" s="578">
        <f>H174</f>
        <v>43.48</v>
      </c>
      <c r="Q174" s="574"/>
      <c r="R174" s="574"/>
      <c r="S174" s="574"/>
      <c r="T174" s="574"/>
      <c r="U174" s="574"/>
      <c r="V174" s="574"/>
      <c r="W174" s="1"/>
    </row>
    <row r="175" spans="1:23" ht="14.4" x14ac:dyDescent="0.25">
      <c r="B175" s="157"/>
      <c r="C175" s="566">
        <v>9.35</v>
      </c>
      <c r="D175" s="576"/>
      <c r="E175" s="33">
        <v>1</v>
      </c>
      <c r="F175" s="574"/>
      <c r="G175" s="574"/>
      <c r="H175" s="30">
        <f t="shared" ref="H175" si="71">C175*E175</f>
        <v>9.35</v>
      </c>
      <c r="I175" s="30"/>
      <c r="J175" s="30"/>
      <c r="K175" s="30"/>
      <c r="L175" s="30"/>
      <c r="M175" s="30"/>
      <c r="N175" s="30"/>
      <c r="O175" s="574"/>
      <c r="P175" s="578">
        <f>H175</f>
        <v>9.35</v>
      </c>
      <c r="Q175" s="574"/>
      <c r="R175" s="574"/>
      <c r="S175" s="574"/>
      <c r="T175" s="574"/>
      <c r="U175" s="574"/>
      <c r="V175" s="574"/>
      <c r="W175" s="1"/>
    </row>
    <row r="176" spans="1:23" ht="14.4" x14ac:dyDescent="0.25">
      <c r="B176" s="157" t="s">
        <v>724</v>
      </c>
      <c r="C176" s="566">
        <v>7.45</v>
      </c>
      <c r="D176" s="576">
        <v>10.93</v>
      </c>
      <c r="E176" s="33">
        <v>1</v>
      </c>
      <c r="F176" s="574"/>
      <c r="G176" s="574"/>
      <c r="H176" s="30">
        <f t="shared" si="69"/>
        <v>7.45</v>
      </c>
      <c r="I176" s="30"/>
      <c r="J176" s="30"/>
      <c r="K176" s="30"/>
      <c r="L176" s="30"/>
      <c r="M176" s="30"/>
      <c r="N176" s="30"/>
      <c r="O176" s="574"/>
      <c r="P176" s="574"/>
      <c r="Q176" s="574"/>
      <c r="R176" s="574"/>
      <c r="S176" s="574"/>
      <c r="T176" s="574"/>
      <c r="U176" s="574"/>
      <c r="V176" s="574"/>
      <c r="W176" s="1"/>
    </row>
    <row r="177" spans="1:23" ht="14.4" x14ac:dyDescent="0.25">
      <c r="B177" s="157" t="s">
        <v>725</v>
      </c>
      <c r="C177" s="566">
        <v>8.23</v>
      </c>
      <c r="D177" s="576">
        <v>11.56</v>
      </c>
      <c r="E177" s="33">
        <v>1</v>
      </c>
      <c r="F177" s="574"/>
      <c r="G177" s="574"/>
      <c r="H177" s="30">
        <f t="shared" si="69"/>
        <v>8.23</v>
      </c>
      <c r="I177" s="30"/>
      <c r="J177" s="30"/>
      <c r="K177" s="30"/>
      <c r="L177" s="30"/>
      <c r="M177" s="30"/>
      <c r="N177" s="30"/>
      <c r="O177" s="574"/>
      <c r="P177" s="574"/>
      <c r="Q177" s="574"/>
      <c r="R177" s="574"/>
      <c r="S177" s="574"/>
      <c r="T177" s="574"/>
      <c r="U177" s="574"/>
      <c r="V177" s="574"/>
      <c r="W177" s="1"/>
    </row>
    <row r="178" spans="1:23" ht="14.4" x14ac:dyDescent="0.25">
      <c r="B178" s="157" t="s">
        <v>726</v>
      </c>
      <c r="C178" s="186">
        <v>3.9</v>
      </c>
      <c r="D178" s="576">
        <v>8.33</v>
      </c>
      <c r="E178" s="33">
        <v>1</v>
      </c>
      <c r="F178" s="574"/>
      <c r="G178" s="574"/>
      <c r="H178" s="30">
        <f t="shared" si="69"/>
        <v>3.9</v>
      </c>
      <c r="I178" s="30"/>
      <c r="J178" s="30"/>
      <c r="K178" s="30"/>
      <c r="L178" s="30"/>
      <c r="M178" s="30"/>
      <c r="N178" s="30"/>
      <c r="O178" s="574"/>
      <c r="P178" s="574"/>
      <c r="Q178" s="574"/>
      <c r="R178" s="574"/>
      <c r="S178" s="574"/>
      <c r="T178" s="574"/>
      <c r="U178" s="574"/>
      <c r="V178" s="574"/>
      <c r="W178" s="1"/>
    </row>
    <row r="179" spans="1:23" ht="14.4" x14ac:dyDescent="0.25">
      <c r="A179" s="150"/>
      <c r="B179" s="220" t="s">
        <v>168</v>
      </c>
      <c r="C179" s="222">
        <v>58.2</v>
      </c>
      <c r="D179" s="131">
        <f>64.72-6.99</f>
        <v>57.73</v>
      </c>
      <c r="E179" s="33">
        <v>1</v>
      </c>
      <c r="F179" s="29"/>
      <c r="G179" s="30"/>
      <c r="H179" s="30">
        <f t="shared" ref="H179:H209" si="72">C179*E179</f>
        <v>58.2</v>
      </c>
      <c r="I179" s="156"/>
      <c r="J179" s="156"/>
      <c r="K179" s="156"/>
      <c r="L179" s="156"/>
      <c r="M179" s="156"/>
      <c r="N179" s="156"/>
      <c r="O179" s="156"/>
      <c r="P179" s="156"/>
      <c r="Q179" s="156"/>
      <c r="R179" s="31"/>
      <c r="S179" s="31">
        <f>H179</f>
        <v>58.2</v>
      </c>
      <c r="T179" s="31"/>
      <c r="U179" s="31">
        <f>D179*E179</f>
        <v>57.73</v>
      </c>
      <c r="V179" s="31"/>
      <c r="W179" s="1"/>
    </row>
    <row r="180" spans="1:23" ht="14.4" x14ac:dyDescent="0.25">
      <c r="A180" s="150"/>
      <c r="B180" s="220" t="s">
        <v>168</v>
      </c>
      <c r="C180" s="222">
        <v>26.54</v>
      </c>
      <c r="D180" s="131">
        <f>31.36-1.84</f>
        <v>29.52</v>
      </c>
      <c r="E180" s="33">
        <v>1</v>
      </c>
      <c r="F180" s="29"/>
      <c r="G180" s="30"/>
      <c r="H180" s="30">
        <f t="shared" si="72"/>
        <v>26.54</v>
      </c>
      <c r="I180" s="156"/>
      <c r="J180" s="156"/>
      <c r="K180" s="156"/>
      <c r="L180" s="156"/>
      <c r="M180" s="156"/>
      <c r="N180" s="156"/>
      <c r="O180" s="156"/>
      <c r="P180" s="156"/>
      <c r="Q180" s="156"/>
      <c r="R180" s="31"/>
      <c r="S180" s="31">
        <f t="shared" ref="S180:S209" si="73">H180</f>
        <v>26.54</v>
      </c>
      <c r="T180" s="31"/>
      <c r="U180" s="31">
        <f>D180*E180</f>
        <v>29.52</v>
      </c>
      <c r="V180" s="31"/>
      <c r="W180" s="1"/>
    </row>
    <row r="181" spans="1:23" ht="14.4" x14ac:dyDescent="0.25">
      <c r="A181" s="150"/>
      <c r="B181" s="15" t="s">
        <v>227</v>
      </c>
      <c r="C181" s="73">
        <v>2.0699999999999998</v>
      </c>
      <c r="D181" s="131">
        <v>5.76</v>
      </c>
      <c r="E181" s="33">
        <v>1</v>
      </c>
      <c r="F181" s="29"/>
      <c r="G181" s="30"/>
      <c r="H181" s="30">
        <f t="shared" si="72"/>
        <v>2.0699999999999998</v>
      </c>
      <c r="I181" s="156"/>
      <c r="J181" s="156"/>
      <c r="K181" s="156"/>
      <c r="L181" s="156"/>
      <c r="M181" s="156"/>
      <c r="N181" s="156"/>
      <c r="O181" s="156"/>
      <c r="P181" s="156"/>
      <c r="Q181" s="156"/>
      <c r="R181" s="31">
        <f>H181</f>
        <v>2.0699999999999998</v>
      </c>
      <c r="S181" s="31"/>
      <c r="T181" s="31"/>
      <c r="U181" s="31"/>
      <c r="V181" s="31">
        <f>D181*E181</f>
        <v>5.76</v>
      </c>
      <c r="W181" s="1"/>
    </row>
    <row r="182" spans="1:23" ht="14.4" x14ac:dyDescent="0.25">
      <c r="A182" s="150"/>
      <c r="B182" s="15" t="s">
        <v>230</v>
      </c>
      <c r="C182" s="73">
        <v>2.0699999999999998</v>
      </c>
      <c r="D182" s="131">
        <v>5.76</v>
      </c>
      <c r="E182" s="33">
        <v>1</v>
      </c>
      <c r="F182" s="29"/>
      <c r="G182" s="30"/>
      <c r="H182" s="30">
        <f t="shared" si="72"/>
        <v>2.0699999999999998</v>
      </c>
      <c r="I182" s="156"/>
      <c r="J182" s="156"/>
      <c r="K182" s="156"/>
      <c r="L182" s="156"/>
      <c r="M182" s="156"/>
      <c r="N182" s="156"/>
      <c r="O182" s="156"/>
      <c r="P182" s="156"/>
      <c r="Q182" s="156"/>
      <c r="R182" s="31">
        <f>H182</f>
        <v>2.0699999999999998</v>
      </c>
      <c r="S182" s="31"/>
      <c r="T182" s="31"/>
      <c r="U182" s="31"/>
      <c r="V182" s="31">
        <f>D182*E182</f>
        <v>5.76</v>
      </c>
      <c r="W182" s="1"/>
    </row>
    <row r="183" spans="1:23" ht="14.4" x14ac:dyDescent="0.25">
      <c r="A183" s="150"/>
      <c r="B183" s="220" t="s">
        <v>158</v>
      </c>
      <c r="C183" s="222">
        <v>2.1800000000000002</v>
      </c>
      <c r="D183" s="131">
        <v>5.91</v>
      </c>
      <c r="E183" s="33">
        <v>1</v>
      </c>
      <c r="F183" s="29"/>
      <c r="G183" s="30"/>
      <c r="H183" s="30">
        <f t="shared" si="72"/>
        <v>2.1800000000000002</v>
      </c>
      <c r="I183" s="156"/>
      <c r="J183" s="156"/>
      <c r="K183" s="156"/>
      <c r="L183" s="156"/>
      <c r="M183" s="156"/>
      <c r="N183" s="156"/>
      <c r="O183" s="156"/>
      <c r="P183" s="156"/>
      <c r="Q183" s="156">
        <f>H183</f>
        <v>2.1800000000000002</v>
      </c>
      <c r="R183" s="31"/>
      <c r="S183" s="31"/>
      <c r="T183" s="31"/>
      <c r="U183" s="31"/>
      <c r="V183" s="31"/>
      <c r="W183" s="1"/>
    </row>
    <row r="184" spans="1:23" ht="14.4" x14ac:dyDescent="0.25">
      <c r="A184" s="150"/>
      <c r="B184" s="15" t="s">
        <v>229</v>
      </c>
      <c r="C184" s="73">
        <v>0.46</v>
      </c>
      <c r="D184" s="131">
        <v>3.85</v>
      </c>
      <c r="E184" s="33">
        <v>1</v>
      </c>
      <c r="F184" s="269"/>
      <c r="G184" s="30"/>
      <c r="H184" s="30"/>
      <c r="I184" s="156"/>
      <c r="J184" s="156"/>
      <c r="K184" s="156"/>
      <c r="L184" s="156"/>
      <c r="M184" s="156"/>
      <c r="N184" s="156"/>
      <c r="O184" s="156"/>
      <c r="P184" s="156"/>
      <c r="Q184" s="156"/>
      <c r="R184" s="31"/>
      <c r="S184" s="31"/>
      <c r="T184" s="31"/>
      <c r="U184" s="31"/>
      <c r="V184" s="31"/>
      <c r="W184" s="1"/>
    </row>
    <row r="185" spans="1:23" ht="14.4" x14ac:dyDescent="0.25">
      <c r="A185" s="150"/>
      <c r="B185" s="15" t="s">
        <v>229</v>
      </c>
      <c r="C185" s="73">
        <v>3.03</v>
      </c>
      <c r="D185" s="131">
        <v>8.51</v>
      </c>
      <c r="E185" s="33">
        <v>1</v>
      </c>
      <c r="F185" s="29"/>
      <c r="G185" s="30"/>
      <c r="H185" s="30"/>
      <c r="I185" s="156"/>
      <c r="J185" s="156"/>
      <c r="K185" s="156"/>
      <c r="L185" s="156"/>
      <c r="M185" s="156"/>
      <c r="N185" s="156"/>
      <c r="O185" s="156"/>
      <c r="P185" s="156"/>
      <c r="Q185" s="156"/>
      <c r="R185" s="31"/>
      <c r="S185" s="31"/>
      <c r="T185" s="31"/>
      <c r="U185" s="31"/>
      <c r="V185" s="31"/>
      <c r="W185" s="1"/>
    </row>
    <row r="186" spans="1:23" ht="14.4" x14ac:dyDescent="0.25">
      <c r="A186" s="150"/>
      <c r="B186" s="220" t="s">
        <v>231</v>
      </c>
      <c r="C186" s="222">
        <v>121.08</v>
      </c>
      <c r="D186" s="131">
        <f>68.68-12.82</f>
        <v>55.860000000000007</v>
      </c>
      <c r="E186" s="33">
        <v>1</v>
      </c>
      <c r="F186" s="29"/>
      <c r="G186" s="30"/>
      <c r="H186" s="30">
        <f t="shared" si="72"/>
        <v>121.08</v>
      </c>
      <c r="I186" s="156"/>
      <c r="J186" s="156"/>
      <c r="K186" s="156"/>
      <c r="L186" s="156"/>
      <c r="M186" s="156"/>
      <c r="N186" s="156"/>
      <c r="O186" s="156"/>
      <c r="P186" s="156"/>
      <c r="Q186" s="156"/>
      <c r="R186" s="31"/>
      <c r="S186" s="31">
        <f t="shared" si="73"/>
        <v>121.08</v>
      </c>
      <c r="T186" s="31"/>
      <c r="U186" s="31">
        <f>D186*E186</f>
        <v>55.860000000000007</v>
      </c>
      <c r="V186" s="31"/>
      <c r="W186" s="1"/>
    </row>
    <row r="187" spans="1:23" ht="14.4" x14ac:dyDescent="0.25">
      <c r="A187" s="150"/>
      <c r="B187" s="15" t="s">
        <v>177</v>
      </c>
      <c r="C187" s="73">
        <v>7.71</v>
      </c>
      <c r="D187" s="131">
        <v>12.07</v>
      </c>
      <c r="E187" s="33">
        <v>1</v>
      </c>
      <c r="F187" s="29"/>
      <c r="G187" s="30"/>
      <c r="H187" s="30">
        <f t="shared" si="72"/>
        <v>7.71</v>
      </c>
      <c r="I187" s="156"/>
      <c r="J187" s="156"/>
      <c r="K187" s="156"/>
      <c r="L187" s="156"/>
      <c r="M187" s="156"/>
      <c r="N187" s="156"/>
      <c r="O187" s="156"/>
      <c r="P187" s="156">
        <f>H187</f>
        <v>7.71</v>
      </c>
      <c r="Q187" s="156"/>
      <c r="R187" s="31"/>
      <c r="S187" s="31"/>
      <c r="T187" s="31"/>
      <c r="U187" s="31"/>
      <c r="V187" s="31"/>
      <c r="W187" s="1"/>
    </row>
    <row r="188" spans="1:23" ht="14.4" x14ac:dyDescent="0.25">
      <c r="A188" s="150"/>
      <c r="B188" s="220" t="s">
        <v>168</v>
      </c>
      <c r="C188" s="222">
        <v>8.4</v>
      </c>
      <c r="D188" s="131">
        <f>14.2-3</f>
        <v>11.2</v>
      </c>
      <c r="E188" s="33">
        <v>1</v>
      </c>
      <c r="F188" s="29"/>
      <c r="G188" s="30"/>
      <c r="H188" s="30">
        <f t="shared" si="72"/>
        <v>8.4</v>
      </c>
      <c r="I188" s="156"/>
      <c r="J188" s="156"/>
      <c r="K188" s="156"/>
      <c r="L188" s="156"/>
      <c r="M188" s="156"/>
      <c r="N188" s="156"/>
      <c r="O188" s="156"/>
      <c r="P188" s="156"/>
      <c r="Q188" s="156"/>
      <c r="R188" s="31"/>
      <c r="S188" s="31">
        <f t="shared" si="73"/>
        <v>8.4</v>
      </c>
      <c r="T188" s="31"/>
      <c r="U188" s="31">
        <f>D188*E188</f>
        <v>11.2</v>
      </c>
      <c r="V188" s="31"/>
      <c r="W188" s="1"/>
    </row>
    <row r="189" spans="1:23" ht="14.4" x14ac:dyDescent="0.25">
      <c r="A189" s="150"/>
      <c r="B189" s="220" t="s">
        <v>232</v>
      </c>
      <c r="C189" s="222">
        <v>7.35</v>
      </c>
      <c r="D189" s="131">
        <v>7.9</v>
      </c>
      <c r="E189" s="33">
        <v>2</v>
      </c>
      <c r="F189" s="29"/>
      <c r="G189" s="30"/>
      <c r="H189" s="30">
        <f t="shared" si="72"/>
        <v>14.7</v>
      </c>
      <c r="I189" s="156"/>
      <c r="J189" s="156"/>
      <c r="K189" s="156"/>
      <c r="L189" s="156"/>
      <c r="M189" s="156"/>
      <c r="N189" s="156"/>
      <c r="O189" s="156"/>
      <c r="P189" s="156"/>
      <c r="Q189" s="156"/>
      <c r="R189" s="31">
        <f>H189</f>
        <v>14.7</v>
      </c>
      <c r="S189" s="31"/>
      <c r="T189" s="31"/>
      <c r="U189" s="31"/>
      <c r="V189" s="31">
        <f>D189*E189</f>
        <v>15.8</v>
      </c>
      <c r="W189" s="1"/>
    </row>
    <row r="190" spans="1:23" ht="14.4" x14ac:dyDescent="0.25">
      <c r="A190" s="150"/>
      <c r="B190" s="15" t="s">
        <v>233</v>
      </c>
      <c r="C190" s="73">
        <v>4.82</v>
      </c>
      <c r="D190" s="131">
        <v>9.27</v>
      </c>
      <c r="E190" s="33">
        <v>1</v>
      </c>
      <c r="F190" s="29"/>
      <c r="G190" s="30"/>
      <c r="H190" s="30">
        <f t="shared" si="72"/>
        <v>4.82</v>
      </c>
      <c r="I190" s="156"/>
      <c r="J190" s="156"/>
      <c r="K190" s="156"/>
      <c r="L190" s="156"/>
      <c r="M190" s="156"/>
      <c r="N190" s="156"/>
      <c r="O190" s="156"/>
      <c r="P190" s="156"/>
      <c r="Q190" s="156"/>
      <c r="R190" s="31"/>
      <c r="S190" s="31">
        <f t="shared" si="73"/>
        <v>4.82</v>
      </c>
      <c r="T190" s="31"/>
      <c r="U190" s="31">
        <f>D190*E190</f>
        <v>9.27</v>
      </c>
      <c r="V190" s="31"/>
      <c r="W190" s="1"/>
    </row>
    <row r="191" spans="1:23" ht="14.4" x14ac:dyDescent="0.25">
      <c r="A191" s="150"/>
      <c r="B191" s="15" t="s">
        <v>189</v>
      </c>
      <c r="C191" s="73">
        <v>3.15</v>
      </c>
      <c r="D191" s="131">
        <v>7.15</v>
      </c>
      <c r="E191" s="33">
        <v>1</v>
      </c>
      <c r="F191" s="29"/>
      <c r="G191" s="30"/>
      <c r="H191" s="30">
        <f t="shared" si="72"/>
        <v>3.15</v>
      </c>
      <c r="I191" s="156"/>
      <c r="J191" s="156"/>
      <c r="K191" s="156"/>
      <c r="L191" s="156"/>
      <c r="M191" s="156"/>
      <c r="N191" s="156"/>
      <c r="O191" s="156"/>
      <c r="P191" s="156"/>
      <c r="Q191" s="156"/>
      <c r="R191" s="31">
        <f>H191</f>
        <v>3.15</v>
      </c>
      <c r="S191" s="31"/>
      <c r="T191" s="31"/>
      <c r="U191" s="31"/>
      <c r="V191" s="31">
        <f>D191*E191</f>
        <v>7.15</v>
      </c>
      <c r="W191" s="1"/>
    </row>
    <row r="192" spans="1:23" ht="14.4" x14ac:dyDescent="0.25">
      <c r="A192" s="150"/>
      <c r="B192" s="15" t="s">
        <v>234</v>
      </c>
      <c r="C192" s="73">
        <v>103.83</v>
      </c>
      <c r="D192" s="131">
        <v>44.17</v>
      </c>
      <c r="E192" s="33">
        <v>1</v>
      </c>
      <c r="F192" s="29"/>
      <c r="G192" s="30"/>
      <c r="H192" s="30">
        <f t="shared" si="72"/>
        <v>103.83</v>
      </c>
      <c r="I192" s="156"/>
      <c r="J192" s="156"/>
      <c r="K192" s="156"/>
      <c r="L192" s="156"/>
      <c r="M192" s="156"/>
      <c r="N192" s="156"/>
      <c r="O192" s="156">
        <f>H192</f>
        <v>103.83</v>
      </c>
      <c r="P192" s="156"/>
      <c r="Q192" s="156"/>
      <c r="R192" s="31"/>
      <c r="S192" s="31"/>
      <c r="T192" s="31">
        <f>D192*E192</f>
        <v>44.17</v>
      </c>
      <c r="U192" s="31"/>
      <c r="V192" s="31"/>
      <c r="W192" s="1"/>
    </row>
    <row r="193" spans="1:23" ht="14.4" x14ac:dyDescent="0.25">
      <c r="A193" s="150"/>
      <c r="B193" s="15" t="s">
        <v>235</v>
      </c>
      <c r="C193" s="73">
        <v>4.4000000000000004</v>
      </c>
      <c r="D193" s="131">
        <v>7.4</v>
      </c>
      <c r="E193" s="33">
        <v>1</v>
      </c>
      <c r="F193" s="29"/>
      <c r="G193" s="30"/>
      <c r="H193" s="30">
        <f t="shared" si="72"/>
        <v>4.4000000000000004</v>
      </c>
      <c r="I193" s="156"/>
      <c r="J193" s="156"/>
      <c r="K193" s="156"/>
      <c r="L193" s="156"/>
      <c r="M193" s="156"/>
      <c r="N193" s="156"/>
      <c r="O193" s="156">
        <f>H193</f>
        <v>4.4000000000000004</v>
      </c>
      <c r="P193" s="156"/>
      <c r="Q193" s="156"/>
      <c r="R193" s="31"/>
      <c r="S193" s="31"/>
      <c r="T193" s="526"/>
      <c r="U193" s="31"/>
      <c r="V193" s="31"/>
      <c r="W193" s="1"/>
    </row>
    <row r="194" spans="1:23" ht="14.4" x14ac:dyDescent="0.25">
      <c r="B194" s="15"/>
      <c r="C194" s="73"/>
      <c r="D194" s="131">
        <v>4.5999999999999996</v>
      </c>
      <c r="E194" s="33">
        <v>1</v>
      </c>
      <c r="F194" s="29"/>
      <c r="G194" s="30"/>
      <c r="H194" s="30"/>
      <c r="I194" s="156"/>
      <c r="J194" s="156"/>
      <c r="K194" s="156"/>
      <c r="L194" s="156"/>
      <c r="M194" s="156"/>
      <c r="N194" s="156"/>
      <c r="O194" s="156"/>
      <c r="P194" s="156"/>
      <c r="Q194" s="156"/>
      <c r="R194" s="31"/>
      <c r="S194" s="31"/>
      <c r="T194" s="526">
        <f>D194*E194</f>
        <v>4.5999999999999996</v>
      </c>
      <c r="U194" s="31"/>
      <c r="V194" s="31"/>
      <c r="W194" s="1"/>
    </row>
    <row r="195" spans="1:23" ht="14.4" x14ac:dyDescent="0.25">
      <c r="A195" s="150"/>
      <c r="B195" s="220" t="s">
        <v>236</v>
      </c>
      <c r="C195" s="222">
        <v>41.14</v>
      </c>
      <c r="D195" s="131">
        <v>26.39</v>
      </c>
      <c r="E195" s="33">
        <v>1</v>
      </c>
      <c r="F195" s="29"/>
      <c r="G195" s="30"/>
      <c r="H195" s="30">
        <f t="shared" si="72"/>
        <v>41.14</v>
      </c>
      <c r="I195" s="156"/>
      <c r="J195" s="156"/>
      <c r="K195" s="156"/>
      <c r="L195" s="156"/>
      <c r="M195" s="156"/>
      <c r="N195" s="156"/>
      <c r="O195" s="156"/>
      <c r="P195" s="156"/>
      <c r="Q195" s="156"/>
      <c r="R195" s="31"/>
      <c r="S195" s="31">
        <f t="shared" si="73"/>
        <v>41.14</v>
      </c>
      <c r="T195" s="31"/>
      <c r="U195" s="31">
        <f>D195*E195</f>
        <v>26.39</v>
      </c>
      <c r="V195" s="31"/>
      <c r="W195" s="1"/>
    </row>
    <row r="196" spans="1:23" ht="14.4" x14ac:dyDescent="0.25">
      <c r="A196" s="150"/>
      <c r="B196" s="220" t="s">
        <v>236</v>
      </c>
      <c r="C196" s="222">
        <v>41.06</v>
      </c>
      <c r="D196" s="131">
        <v>28.9</v>
      </c>
      <c r="E196" s="33">
        <v>1</v>
      </c>
      <c r="F196" s="29"/>
      <c r="G196" s="30"/>
      <c r="H196" s="30">
        <f t="shared" si="72"/>
        <v>41.06</v>
      </c>
      <c r="I196" s="156"/>
      <c r="J196" s="156"/>
      <c r="K196" s="156"/>
      <c r="L196" s="156"/>
      <c r="M196" s="156"/>
      <c r="N196" s="156"/>
      <c r="O196" s="156"/>
      <c r="P196" s="156"/>
      <c r="Q196" s="156"/>
      <c r="R196" s="31"/>
      <c r="S196" s="31">
        <f t="shared" si="73"/>
        <v>41.06</v>
      </c>
      <c r="T196" s="31"/>
      <c r="U196" s="31">
        <f>D196*E196</f>
        <v>28.9</v>
      </c>
      <c r="V196" s="31"/>
      <c r="W196" s="1"/>
    </row>
    <row r="197" spans="1:23" ht="14.4" x14ac:dyDescent="0.25">
      <c r="A197" s="150"/>
      <c r="B197" s="220" t="s">
        <v>237</v>
      </c>
      <c r="C197" s="222">
        <v>27.52</v>
      </c>
      <c r="D197" s="131">
        <f>21.45-9.59</f>
        <v>11.86</v>
      </c>
      <c r="E197" s="33">
        <v>1</v>
      </c>
      <c r="F197" s="29"/>
      <c r="G197" s="30"/>
      <c r="H197" s="30">
        <f t="shared" si="72"/>
        <v>27.52</v>
      </c>
      <c r="I197" s="156"/>
      <c r="J197" s="156"/>
      <c r="K197" s="156"/>
      <c r="L197" s="156"/>
      <c r="M197" s="156"/>
      <c r="N197" s="156"/>
      <c r="O197" s="156"/>
      <c r="P197" s="156"/>
      <c r="Q197" s="156"/>
      <c r="R197" s="31"/>
      <c r="S197" s="31">
        <f t="shared" si="73"/>
        <v>27.52</v>
      </c>
      <c r="T197" s="31"/>
      <c r="U197" s="31">
        <f>D197*E197</f>
        <v>11.86</v>
      </c>
      <c r="V197" s="31"/>
      <c r="W197" s="1"/>
    </row>
    <row r="198" spans="1:23" ht="14.4" x14ac:dyDescent="0.25">
      <c r="A198" s="150"/>
      <c r="B198" s="15" t="s">
        <v>168</v>
      </c>
      <c r="C198" s="73">
        <v>3.65</v>
      </c>
      <c r="D198" s="131">
        <f>8.48-1.2</f>
        <v>7.28</v>
      </c>
      <c r="E198" s="33">
        <v>1</v>
      </c>
      <c r="F198" s="29"/>
      <c r="G198" s="30"/>
      <c r="H198" s="30">
        <f t="shared" si="72"/>
        <v>3.65</v>
      </c>
      <c r="I198" s="156"/>
      <c r="J198" s="156"/>
      <c r="K198" s="156"/>
      <c r="L198" s="156"/>
      <c r="M198" s="156"/>
      <c r="N198" s="156"/>
      <c r="O198" s="156"/>
      <c r="P198" s="156"/>
      <c r="Q198" s="156"/>
      <c r="R198" s="31"/>
      <c r="S198" s="31">
        <f t="shared" si="73"/>
        <v>3.65</v>
      </c>
      <c r="T198" s="31"/>
      <c r="U198" s="31">
        <f>D198*E198</f>
        <v>7.28</v>
      </c>
      <c r="V198" s="31"/>
      <c r="W198" s="1"/>
    </row>
    <row r="199" spans="1:23" ht="14.4" x14ac:dyDescent="0.25">
      <c r="A199" s="150"/>
      <c r="B199" s="220" t="s">
        <v>238</v>
      </c>
      <c r="C199" s="222">
        <v>30.7</v>
      </c>
      <c r="D199" s="131">
        <f>24.72-15.09</f>
        <v>9.629999999999999</v>
      </c>
      <c r="E199" s="33">
        <v>1</v>
      </c>
      <c r="F199" s="29"/>
      <c r="G199" s="30"/>
      <c r="H199" s="30">
        <f t="shared" si="72"/>
        <v>30.7</v>
      </c>
      <c r="I199" s="156"/>
      <c r="J199" s="156"/>
      <c r="K199" s="156"/>
      <c r="L199" s="156"/>
      <c r="M199" s="156"/>
      <c r="N199" s="156"/>
      <c r="O199" s="156"/>
      <c r="P199" s="156"/>
      <c r="Q199" s="156"/>
      <c r="R199" s="31"/>
      <c r="S199" s="31">
        <f t="shared" si="73"/>
        <v>30.7</v>
      </c>
      <c r="T199" s="31"/>
      <c r="U199" s="31">
        <f>D199*E199</f>
        <v>9.629999999999999</v>
      </c>
      <c r="V199" s="31"/>
      <c r="W199" s="1"/>
    </row>
    <row r="200" spans="1:23" ht="14.4" x14ac:dyDescent="0.25">
      <c r="A200" s="150"/>
      <c r="B200" s="15" t="s">
        <v>227</v>
      </c>
      <c r="C200" s="73">
        <v>2.17</v>
      </c>
      <c r="D200" s="131">
        <v>6.02</v>
      </c>
      <c r="E200" s="33">
        <v>1</v>
      </c>
      <c r="F200" s="29"/>
      <c r="G200" s="30"/>
      <c r="H200" s="30">
        <f t="shared" si="72"/>
        <v>2.17</v>
      </c>
      <c r="I200" s="156"/>
      <c r="J200" s="156"/>
      <c r="K200" s="156"/>
      <c r="L200" s="156"/>
      <c r="M200" s="156"/>
      <c r="N200" s="156"/>
      <c r="O200" s="156"/>
      <c r="P200" s="156"/>
      <c r="Q200" s="156"/>
      <c r="R200" s="31">
        <f>H200</f>
        <v>2.17</v>
      </c>
      <c r="S200" s="31"/>
      <c r="T200" s="31"/>
      <c r="U200" s="31"/>
      <c r="V200" s="31">
        <f t="shared" ref="V200:V201" si="74">D200*E200</f>
        <v>6.02</v>
      </c>
      <c r="W200" s="1"/>
    </row>
    <row r="201" spans="1:23" ht="14.4" x14ac:dyDescent="0.25">
      <c r="A201" s="150"/>
      <c r="B201" s="15" t="s">
        <v>228</v>
      </c>
      <c r="C201" s="73">
        <v>2.16</v>
      </c>
      <c r="D201" s="131">
        <v>6</v>
      </c>
      <c r="E201" s="33">
        <v>1</v>
      </c>
      <c r="F201" s="29"/>
      <c r="G201" s="30"/>
      <c r="H201" s="30">
        <f t="shared" si="72"/>
        <v>2.16</v>
      </c>
      <c r="I201" s="156"/>
      <c r="J201" s="156"/>
      <c r="K201" s="156"/>
      <c r="L201" s="156"/>
      <c r="M201" s="156"/>
      <c r="N201" s="156"/>
      <c r="O201" s="156"/>
      <c r="P201" s="156"/>
      <c r="Q201" s="156"/>
      <c r="R201" s="31">
        <f>H201</f>
        <v>2.16</v>
      </c>
      <c r="S201" s="31"/>
      <c r="T201" s="31"/>
      <c r="U201" s="31"/>
      <c r="V201" s="31">
        <f t="shared" si="74"/>
        <v>6</v>
      </c>
      <c r="W201" s="1"/>
    </row>
    <row r="202" spans="1:23" ht="14.4" x14ac:dyDescent="0.25">
      <c r="A202" s="150"/>
      <c r="B202" s="220" t="s">
        <v>239</v>
      </c>
      <c r="C202" s="222">
        <v>6.05</v>
      </c>
      <c r="D202" s="131">
        <f>9.92-9.47</f>
        <v>0.44999999999999929</v>
      </c>
      <c r="E202" s="33">
        <v>1</v>
      </c>
      <c r="F202" s="29"/>
      <c r="G202" s="30"/>
      <c r="H202" s="30">
        <f t="shared" si="72"/>
        <v>6.05</v>
      </c>
      <c r="I202" s="156"/>
      <c r="J202" s="156"/>
      <c r="K202" s="156"/>
      <c r="L202" s="156"/>
      <c r="M202" s="156"/>
      <c r="N202" s="156"/>
      <c r="O202" s="156"/>
      <c r="P202" s="156"/>
      <c r="Q202" s="156"/>
      <c r="R202" s="31"/>
      <c r="S202" s="31">
        <f t="shared" si="73"/>
        <v>6.05</v>
      </c>
      <c r="T202" s="31"/>
      <c r="U202" s="31">
        <f t="shared" ref="U202:U207" si="75">D202*E202</f>
        <v>0.44999999999999929</v>
      </c>
      <c r="V202" s="31"/>
      <c r="W202" s="1"/>
    </row>
    <row r="203" spans="1:23" ht="14.4" x14ac:dyDescent="0.25">
      <c r="A203" s="150"/>
      <c r="B203" s="220" t="s">
        <v>239</v>
      </c>
      <c r="C203" s="222">
        <v>5.18</v>
      </c>
      <c r="D203" s="131">
        <f>9.25-3.75</f>
        <v>5.5</v>
      </c>
      <c r="E203" s="33">
        <v>1</v>
      </c>
      <c r="F203" s="29"/>
      <c r="G203" s="30"/>
      <c r="H203" s="30">
        <f t="shared" si="72"/>
        <v>5.18</v>
      </c>
      <c r="I203" s="156"/>
      <c r="J203" s="156"/>
      <c r="K203" s="156"/>
      <c r="L203" s="156"/>
      <c r="M203" s="156"/>
      <c r="N203" s="156"/>
      <c r="O203" s="156"/>
      <c r="P203" s="156"/>
      <c r="Q203" s="156"/>
      <c r="R203" s="31"/>
      <c r="S203" s="31">
        <f t="shared" si="73"/>
        <v>5.18</v>
      </c>
      <c r="T203" s="31"/>
      <c r="U203" s="31">
        <f t="shared" si="75"/>
        <v>5.5</v>
      </c>
      <c r="V203" s="31"/>
      <c r="W203" s="1"/>
    </row>
    <row r="204" spans="1:23" ht="14.4" x14ac:dyDescent="0.25">
      <c r="A204" s="150"/>
      <c r="B204" s="220" t="s">
        <v>240</v>
      </c>
      <c r="C204" s="222">
        <v>16.73</v>
      </c>
      <c r="D204" s="131">
        <f>18.65-5.56</f>
        <v>13.09</v>
      </c>
      <c r="E204" s="33">
        <v>1</v>
      </c>
      <c r="F204" s="29"/>
      <c r="G204" s="30"/>
      <c r="H204" s="30">
        <f t="shared" si="72"/>
        <v>16.73</v>
      </c>
      <c r="I204" s="156"/>
      <c r="J204" s="156"/>
      <c r="K204" s="156"/>
      <c r="L204" s="156"/>
      <c r="M204" s="156"/>
      <c r="N204" s="156"/>
      <c r="O204" s="156"/>
      <c r="P204" s="156"/>
      <c r="Q204" s="156"/>
      <c r="R204" s="31"/>
      <c r="S204" s="31">
        <f t="shared" si="73"/>
        <v>16.73</v>
      </c>
      <c r="T204" s="31"/>
      <c r="U204" s="31">
        <f t="shared" si="75"/>
        <v>13.09</v>
      </c>
      <c r="V204" s="31"/>
      <c r="W204" s="1"/>
    </row>
    <row r="205" spans="1:23" ht="14.4" x14ac:dyDescent="0.25">
      <c r="A205" s="150"/>
      <c r="B205" s="15" t="s">
        <v>241</v>
      </c>
      <c r="C205" s="73">
        <v>39.880000000000003</v>
      </c>
      <c r="D205" s="131">
        <f>25.21-9.93</f>
        <v>15.280000000000001</v>
      </c>
      <c r="E205" s="33">
        <v>1</v>
      </c>
      <c r="F205" s="29"/>
      <c r="G205" s="30"/>
      <c r="H205" s="30">
        <f t="shared" si="72"/>
        <v>39.880000000000003</v>
      </c>
      <c r="I205" s="156"/>
      <c r="J205" s="156"/>
      <c r="K205" s="156"/>
      <c r="L205" s="156"/>
      <c r="M205" s="156"/>
      <c r="N205" s="156"/>
      <c r="O205" s="156"/>
      <c r="P205" s="156"/>
      <c r="Q205" s="156"/>
      <c r="R205" s="31"/>
      <c r="S205" s="31">
        <f t="shared" si="73"/>
        <v>39.880000000000003</v>
      </c>
      <c r="T205" s="31"/>
      <c r="U205" s="31">
        <f t="shared" si="75"/>
        <v>15.280000000000001</v>
      </c>
      <c r="V205" s="31"/>
      <c r="W205" s="1"/>
    </row>
    <row r="206" spans="1:23" ht="14.4" x14ac:dyDescent="0.25">
      <c r="A206" s="150"/>
      <c r="B206" s="15" t="s">
        <v>168</v>
      </c>
      <c r="C206" s="73">
        <v>7.62</v>
      </c>
      <c r="D206" s="131">
        <v>13.16</v>
      </c>
      <c r="E206" s="33">
        <v>1</v>
      </c>
      <c r="F206" s="29"/>
      <c r="G206" s="30"/>
      <c r="H206" s="30">
        <f t="shared" si="72"/>
        <v>7.62</v>
      </c>
      <c r="I206" s="156"/>
      <c r="J206" s="156"/>
      <c r="K206" s="156"/>
      <c r="L206" s="156"/>
      <c r="M206" s="156"/>
      <c r="N206" s="156"/>
      <c r="O206" s="156"/>
      <c r="P206" s="156"/>
      <c r="Q206" s="156"/>
      <c r="R206" s="31"/>
      <c r="S206" s="31">
        <f t="shared" si="73"/>
        <v>7.62</v>
      </c>
      <c r="T206" s="31"/>
      <c r="U206" s="31">
        <f t="shared" si="75"/>
        <v>13.16</v>
      </c>
      <c r="V206" s="31"/>
      <c r="W206" s="1"/>
    </row>
    <row r="207" spans="1:23" ht="14.4" x14ac:dyDescent="0.25">
      <c r="A207" s="150"/>
      <c r="B207" s="15" t="s">
        <v>242</v>
      </c>
      <c r="C207" s="73">
        <v>12.19</v>
      </c>
      <c r="D207" s="131">
        <v>14.12</v>
      </c>
      <c r="E207" s="33">
        <v>1</v>
      </c>
      <c r="F207" s="29"/>
      <c r="G207" s="30"/>
      <c r="H207" s="30">
        <f t="shared" si="72"/>
        <v>12.19</v>
      </c>
      <c r="I207" s="156"/>
      <c r="J207" s="156"/>
      <c r="K207" s="156"/>
      <c r="L207" s="156"/>
      <c r="M207" s="156"/>
      <c r="N207" s="156"/>
      <c r="O207" s="156"/>
      <c r="P207" s="156"/>
      <c r="Q207" s="156"/>
      <c r="R207" s="31"/>
      <c r="S207" s="31">
        <f t="shared" si="73"/>
        <v>12.19</v>
      </c>
      <c r="T207" s="31"/>
      <c r="U207" s="31">
        <f t="shared" si="75"/>
        <v>14.12</v>
      </c>
      <c r="V207" s="31"/>
      <c r="W207" s="1"/>
    </row>
    <row r="208" spans="1:23" ht="14.4" x14ac:dyDescent="0.25">
      <c r="A208" s="150"/>
      <c r="B208" s="15" t="s">
        <v>213</v>
      </c>
      <c r="C208" s="73">
        <v>4</v>
      </c>
      <c r="D208" s="131">
        <v>8</v>
      </c>
      <c r="E208" s="33">
        <v>2</v>
      </c>
      <c r="F208" s="29"/>
      <c r="G208" s="30"/>
      <c r="H208" s="30">
        <f t="shared" si="72"/>
        <v>8</v>
      </c>
      <c r="I208" s="156"/>
      <c r="J208" s="156"/>
      <c r="K208" s="156"/>
      <c r="L208" s="156"/>
      <c r="M208" s="156"/>
      <c r="N208" s="156"/>
      <c r="O208" s="156"/>
      <c r="P208" s="156"/>
      <c r="Q208" s="156"/>
      <c r="R208" s="31">
        <f>H208</f>
        <v>8</v>
      </c>
      <c r="S208" s="31"/>
      <c r="T208" s="31"/>
      <c r="U208" s="31"/>
      <c r="V208" s="31">
        <f>D208*E208</f>
        <v>16</v>
      </c>
      <c r="W208" s="1"/>
    </row>
    <row r="209" spans="1:23" ht="14.4" x14ac:dyDescent="0.25">
      <c r="A209" s="150"/>
      <c r="B209" s="15" t="s">
        <v>243</v>
      </c>
      <c r="C209" s="73">
        <v>16.71</v>
      </c>
      <c r="D209" s="131">
        <v>17.18</v>
      </c>
      <c r="E209" s="33">
        <v>1</v>
      </c>
      <c r="F209" s="29"/>
      <c r="G209" s="30"/>
      <c r="H209" s="30">
        <f t="shared" si="72"/>
        <v>16.71</v>
      </c>
      <c r="I209" s="156"/>
      <c r="J209" s="156"/>
      <c r="K209" s="156"/>
      <c r="L209" s="156"/>
      <c r="M209" s="156"/>
      <c r="N209" s="156"/>
      <c r="O209" s="156"/>
      <c r="P209" s="156"/>
      <c r="Q209" s="156"/>
      <c r="R209" s="31"/>
      <c r="S209" s="31">
        <f t="shared" si="73"/>
        <v>16.71</v>
      </c>
      <c r="T209" s="31"/>
      <c r="U209" s="31">
        <f>D209*E209</f>
        <v>17.18</v>
      </c>
      <c r="V209" s="31"/>
      <c r="W209" s="1"/>
    </row>
    <row r="210" spans="1:23" ht="14.4" x14ac:dyDescent="0.25">
      <c r="A210" s="150"/>
      <c r="B210" s="260" t="s">
        <v>229</v>
      </c>
      <c r="C210" s="73">
        <v>1.1599999999999999</v>
      </c>
      <c r="D210" s="131">
        <v>6.82</v>
      </c>
      <c r="E210" s="33">
        <v>1</v>
      </c>
      <c r="F210" s="29"/>
      <c r="G210" s="30"/>
      <c r="H210" s="30"/>
      <c r="I210" s="156"/>
      <c r="J210" s="156"/>
      <c r="K210" s="156"/>
      <c r="L210" s="156"/>
      <c r="M210" s="156"/>
      <c r="N210" s="156"/>
      <c r="O210" s="156"/>
      <c r="P210" s="156"/>
      <c r="Q210" s="156"/>
      <c r="R210" s="31"/>
      <c r="S210" s="31"/>
      <c r="T210" s="31"/>
      <c r="U210" s="31"/>
      <c r="V210" s="31"/>
      <c r="W210" s="1"/>
    </row>
    <row r="211" spans="1:23" ht="15" thickBot="1" x14ac:dyDescent="0.3">
      <c r="A211" s="442"/>
      <c r="B211" s="279" t="s">
        <v>229</v>
      </c>
      <c r="C211" s="344">
        <v>1.17</v>
      </c>
      <c r="D211" s="328">
        <v>7.15</v>
      </c>
      <c r="E211" s="330">
        <v>1</v>
      </c>
      <c r="F211" s="330"/>
      <c r="G211" s="345"/>
      <c r="H211" s="345"/>
      <c r="I211" s="346"/>
      <c r="J211" s="346"/>
      <c r="K211" s="346"/>
      <c r="L211" s="346"/>
      <c r="M211" s="346"/>
      <c r="N211" s="346"/>
      <c r="O211" s="346"/>
      <c r="P211" s="346"/>
      <c r="Q211" s="346"/>
      <c r="R211" s="347"/>
      <c r="S211" s="347"/>
      <c r="T211" s="347"/>
      <c r="U211" s="347"/>
      <c r="V211" s="348"/>
      <c r="W211" s="1"/>
    </row>
    <row r="212" spans="1:23" ht="14.4" x14ac:dyDescent="0.25">
      <c r="A212" s="150"/>
      <c r="B212" s="320" t="s">
        <v>332</v>
      </c>
      <c r="C212" s="350">
        <v>24.47</v>
      </c>
      <c r="D212" s="322">
        <v>28.27</v>
      </c>
      <c r="E212" s="29">
        <v>1</v>
      </c>
      <c r="F212" s="29"/>
      <c r="G212" s="30"/>
      <c r="H212" s="30">
        <f t="shared" ref="H212:H227" si="76">C212*E212</f>
        <v>24.47</v>
      </c>
      <c r="I212" s="30"/>
      <c r="J212" s="30"/>
      <c r="K212" s="30"/>
      <c r="L212" s="30"/>
      <c r="M212" s="30"/>
      <c r="N212" s="30"/>
      <c r="O212" s="30"/>
      <c r="P212" s="268">
        <f>H212</f>
        <v>24.47</v>
      </c>
      <c r="Q212" s="30"/>
      <c r="R212" s="74"/>
      <c r="S212" s="74"/>
      <c r="T212" s="74"/>
      <c r="U212" s="74"/>
      <c r="V212" s="74"/>
      <c r="W212" s="1"/>
    </row>
    <row r="213" spans="1:23" ht="14.4" x14ac:dyDescent="0.25">
      <c r="B213" s="157" t="s">
        <v>332</v>
      </c>
      <c r="C213" s="343">
        <v>6.53</v>
      </c>
      <c r="D213" s="322"/>
      <c r="E213" s="29">
        <v>1</v>
      </c>
      <c r="F213" s="29"/>
      <c r="G213" s="30"/>
      <c r="H213" s="30">
        <f t="shared" si="76"/>
        <v>6.53</v>
      </c>
      <c r="I213" s="30"/>
      <c r="J213" s="30"/>
      <c r="K213" s="30"/>
      <c r="L213" s="30"/>
      <c r="M213" s="30"/>
      <c r="N213" s="30"/>
      <c r="O213" s="30"/>
      <c r="P213" s="268">
        <f>H213</f>
        <v>6.53</v>
      </c>
      <c r="Q213" s="30"/>
      <c r="R213" s="74"/>
      <c r="S213" s="31"/>
      <c r="T213" s="31"/>
      <c r="U213" s="31"/>
      <c r="V213" s="74"/>
      <c r="W213" s="1"/>
    </row>
    <row r="214" spans="1:23" ht="14.4" x14ac:dyDescent="0.25">
      <c r="A214" s="150"/>
      <c r="B214" s="317" t="s">
        <v>168</v>
      </c>
      <c r="C214" s="222">
        <v>14.74</v>
      </c>
      <c r="D214" s="131">
        <f>22.59-2.44</f>
        <v>20.149999999999999</v>
      </c>
      <c r="E214" s="33">
        <v>1</v>
      </c>
      <c r="F214" s="365"/>
      <c r="G214" s="268"/>
      <c r="H214" s="30">
        <f t="shared" si="76"/>
        <v>14.74</v>
      </c>
      <c r="I214" s="30"/>
      <c r="J214" s="30"/>
      <c r="K214" s="30"/>
      <c r="L214" s="30"/>
      <c r="M214" s="30"/>
      <c r="N214" s="30"/>
      <c r="O214" s="268"/>
      <c r="P214" s="268"/>
      <c r="Q214" s="268"/>
      <c r="R214" s="32"/>
      <c r="S214" s="31">
        <f t="shared" ref="S214:S219" si="77">H214</f>
        <v>14.74</v>
      </c>
      <c r="T214" s="31"/>
      <c r="U214" s="31">
        <f t="shared" ref="U214:U219" si="78">D214*E214</f>
        <v>20.149999999999999</v>
      </c>
      <c r="V214" s="32"/>
      <c r="W214" s="1"/>
    </row>
    <row r="215" spans="1:23" ht="14.4" x14ac:dyDescent="0.25">
      <c r="A215" s="150"/>
      <c r="B215" s="262" t="s">
        <v>229</v>
      </c>
      <c r="C215" s="73">
        <v>1.5</v>
      </c>
      <c r="D215" s="131">
        <v>7</v>
      </c>
      <c r="E215" s="33">
        <v>1</v>
      </c>
      <c r="F215" s="365"/>
      <c r="G215" s="268"/>
      <c r="H215" s="30"/>
      <c r="I215" s="30"/>
      <c r="J215" s="30"/>
      <c r="K215" s="30"/>
      <c r="L215" s="30"/>
      <c r="M215" s="30"/>
      <c r="N215" s="30"/>
      <c r="O215" s="268"/>
      <c r="P215" s="268"/>
      <c r="Q215" s="268"/>
      <c r="R215" s="32"/>
      <c r="S215" s="31"/>
      <c r="T215" s="31"/>
      <c r="U215" s="31"/>
      <c r="V215" s="32"/>
      <c r="W215" s="1"/>
    </row>
    <row r="216" spans="1:23" ht="14.4" x14ac:dyDescent="0.25">
      <c r="A216" s="150"/>
      <c r="B216" s="317" t="s">
        <v>238</v>
      </c>
      <c r="C216" s="222">
        <v>17.649999999999999</v>
      </c>
      <c r="D216" s="131">
        <f>18.09-6.8</f>
        <v>11.29</v>
      </c>
      <c r="E216" s="33">
        <v>1</v>
      </c>
      <c r="F216" s="33"/>
      <c r="G216" s="268"/>
      <c r="H216" s="30">
        <f t="shared" si="76"/>
        <v>17.649999999999999</v>
      </c>
      <c r="I216" s="30"/>
      <c r="J216" s="30"/>
      <c r="K216" s="30"/>
      <c r="L216" s="30"/>
      <c r="M216" s="30"/>
      <c r="N216" s="30"/>
      <c r="O216" s="268"/>
      <c r="P216" s="268"/>
      <c r="Q216" s="268"/>
      <c r="R216" s="32"/>
      <c r="S216" s="31">
        <f t="shared" si="77"/>
        <v>17.649999999999999</v>
      </c>
      <c r="T216" s="32"/>
      <c r="U216" s="31">
        <f t="shared" si="78"/>
        <v>11.29</v>
      </c>
      <c r="V216" s="32"/>
      <c r="W216" s="1"/>
    </row>
    <row r="217" spans="1:23" ht="14.4" x14ac:dyDescent="0.25">
      <c r="A217" s="150"/>
      <c r="B217" s="317" t="s">
        <v>368</v>
      </c>
      <c r="C217" s="222">
        <v>31.48</v>
      </c>
      <c r="D217" s="131">
        <f>25.42-9.55</f>
        <v>15.870000000000001</v>
      </c>
      <c r="E217" s="33">
        <v>1</v>
      </c>
      <c r="F217" s="33"/>
      <c r="G217" s="268"/>
      <c r="H217" s="30">
        <f t="shared" si="76"/>
        <v>31.48</v>
      </c>
      <c r="I217" s="30"/>
      <c r="J217" s="30"/>
      <c r="K217" s="30"/>
      <c r="L217" s="30"/>
      <c r="M217" s="30"/>
      <c r="N217" s="30"/>
      <c r="O217" s="268"/>
      <c r="P217" s="268"/>
      <c r="Q217" s="268"/>
      <c r="R217" s="32"/>
      <c r="S217" s="31">
        <f t="shared" si="77"/>
        <v>31.48</v>
      </c>
      <c r="T217" s="32"/>
      <c r="U217" s="31">
        <f t="shared" si="78"/>
        <v>15.870000000000001</v>
      </c>
      <c r="V217" s="32"/>
      <c r="W217" s="1"/>
    </row>
    <row r="218" spans="1:23" ht="14.4" x14ac:dyDescent="0.25">
      <c r="A218" s="150"/>
      <c r="B218" s="317" t="s">
        <v>369</v>
      </c>
      <c r="C218" s="222">
        <v>18.55</v>
      </c>
      <c r="D218" s="131">
        <f>17.73-8.94</f>
        <v>8.7900000000000009</v>
      </c>
      <c r="E218" s="33">
        <v>1</v>
      </c>
      <c r="F218" s="33"/>
      <c r="G218" s="268"/>
      <c r="H218" s="30">
        <f t="shared" si="76"/>
        <v>18.55</v>
      </c>
      <c r="I218" s="30"/>
      <c r="J218" s="30"/>
      <c r="K218" s="30"/>
      <c r="L218" s="30"/>
      <c r="M218" s="30"/>
      <c r="N218" s="30"/>
      <c r="O218" s="268"/>
      <c r="P218" s="268"/>
      <c r="Q218" s="268"/>
      <c r="R218" s="32"/>
      <c r="S218" s="31">
        <f t="shared" si="77"/>
        <v>18.55</v>
      </c>
      <c r="T218" s="32"/>
      <c r="U218" s="31">
        <f t="shared" si="78"/>
        <v>8.7900000000000009</v>
      </c>
      <c r="V218" s="32"/>
      <c r="W218" s="1"/>
    </row>
    <row r="219" spans="1:23" ht="14.4" x14ac:dyDescent="0.25">
      <c r="A219" s="150"/>
      <c r="B219" s="260" t="s">
        <v>370</v>
      </c>
      <c r="C219" s="73">
        <v>40.020000000000003</v>
      </c>
      <c r="D219" s="131">
        <f>25.42-3.8</f>
        <v>21.62</v>
      </c>
      <c r="E219" s="33">
        <v>1</v>
      </c>
      <c r="F219" s="33"/>
      <c r="G219" s="268"/>
      <c r="H219" s="30">
        <f t="shared" si="76"/>
        <v>40.020000000000003</v>
      </c>
      <c r="I219" s="30"/>
      <c r="J219" s="30"/>
      <c r="K219" s="30"/>
      <c r="L219" s="30"/>
      <c r="M219" s="30"/>
      <c r="N219" s="30"/>
      <c r="O219" s="268"/>
      <c r="P219" s="268"/>
      <c r="Q219" s="268"/>
      <c r="R219" s="32"/>
      <c r="S219" s="31">
        <f t="shared" si="77"/>
        <v>40.020000000000003</v>
      </c>
      <c r="T219" s="32"/>
      <c r="U219" s="31">
        <f t="shared" si="78"/>
        <v>21.62</v>
      </c>
      <c r="V219" s="32"/>
      <c r="W219" s="1"/>
    </row>
    <row r="220" spans="1:23" ht="28.8" x14ac:dyDescent="0.25">
      <c r="A220" s="150"/>
      <c r="B220" s="280" t="s">
        <v>371</v>
      </c>
      <c r="C220" s="73">
        <v>25.42</v>
      </c>
      <c r="D220" s="131">
        <v>26.33</v>
      </c>
      <c r="E220" s="33">
        <v>2</v>
      </c>
      <c r="F220" s="33"/>
      <c r="G220" s="268"/>
      <c r="H220" s="30">
        <f t="shared" si="76"/>
        <v>50.84</v>
      </c>
      <c r="I220" s="30"/>
      <c r="J220" s="30"/>
      <c r="K220" s="30"/>
      <c r="L220" s="30"/>
      <c r="M220" s="30"/>
      <c r="N220" s="30"/>
      <c r="O220" s="268"/>
      <c r="P220" s="268"/>
      <c r="Q220" s="268"/>
      <c r="R220" s="31">
        <f>H220</f>
        <v>50.84</v>
      </c>
      <c r="S220" s="31"/>
      <c r="T220" s="31"/>
      <c r="U220" s="31"/>
      <c r="V220" s="31">
        <f>D220*E220</f>
        <v>52.66</v>
      </c>
      <c r="W220" s="1"/>
    </row>
    <row r="221" spans="1:23" ht="14.4" x14ac:dyDescent="0.25">
      <c r="A221" s="150"/>
      <c r="B221" s="260" t="s">
        <v>168</v>
      </c>
      <c r="C221" s="73">
        <v>29.09</v>
      </c>
      <c r="D221" s="131">
        <f>33.68-3</f>
        <v>30.68</v>
      </c>
      <c r="E221" s="33">
        <v>1</v>
      </c>
      <c r="F221" s="33"/>
      <c r="G221" s="268"/>
      <c r="H221" s="30">
        <f t="shared" si="76"/>
        <v>29.09</v>
      </c>
      <c r="I221" s="30"/>
      <c r="J221" s="30"/>
      <c r="K221" s="30"/>
      <c r="L221" s="30"/>
      <c r="M221" s="30"/>
      <c r="N221" s="30"/>
      <c r="O221" s="268"/>
      <c r="P221" s="268"/>
      <c r="Q221" s="268"/>
      <c r="R221" s="32"/>
      <c r="S221" s="31">
        <f t="shared" ref="S221:S224" si="79">H221</f>
        <v>29.09</v>
      </c>
      <c r="T221" s="31"/>
      <c r="U221" s="31">
        <f t="shared" ref="U221:U224" si="80">D221*E221</f>
        <v>30.68</v>
      </c>
      <c r="V221" s="32"/>
      <c r="W221" s="1"/>
    </row>
    <row r="222" spans="1:23" ht="14.4" x14ac:dyDescent="0.25">
      <c r="A222" s="150"/>
      <c r="B222" s="260" t="s">
        <v>372</v>
      </c>
      <c r="C222" s="73">
        <v>6.74</v>
      </c>
      <c r="D222" s="131">
        <v>10.57</v>
      </c>
      <c r="E222" s="33">
        <v>1</v>
      </c>
      <c r="F222" s="33"/>
      <c r="G222" s="268"/>
      <c r="H222" s="30">
        <f t="shared" si="76"/>
        <v>6.74</v>
      </c>
      <c r="I222" s="30"/>
      <c r="J222" s="30"/>
      <c r="K222" s="30"/>
      <c r="L222" s="30"/>
      <c r="M222" s="30"/>
      <c r="N222" s="30"/>
      <c r="O222" s="268"/>
      <c r="P222" s="268"/>
      <c r="Q222" s="268"/>
      <c r="R222" s="32"/>
      <c r="S222" s="31">
        <f t="shared" si="79"/>
        <v>6.74</v>
      </c>
      <c r="T222" s="32"/>
      <c r="U222" s="31">
        <f t="shared" si="80"/>
        <v>10.57</v>
      </c>
      <c r="V222" s="32"/>
      <c r="W222" s="1"/>
    </row>
    <row r="223" spans="1:23" ht="14.4" x14ac:dyDescent="0.25">
      <c r="A223" s="150"/>
      <c r="B223" s="260" t="s">
        <v>372</v>
      </c>
      <c r="C223" s="73">
        <v>6.96</v>
      </c>
      <c r="D223" s="131">
        <v>10.57</v>
      </c>
      <c r="E223" s="33">
        <v>10</v>
      </c>
      <c r="F223" s="33"/>
      <c r="G223" s="268"/>
      <c r="H223" s="30">
        <f t="shared" si="76"/>
        <v>69.599999999999994</v>
      </c>
      <c r="I223" s="30"/>
      <c r="J223" s="30"/>
      <c r="K223" s="30"/>
      <c r="L223" s="30"/>
      <c r="M223" s="30"/>
      <c r="N223" s="30"/>
      <c r="O223" s="268"/>
      <c r="P223" s="268"/>
      <c r="Q223" s="268"/>
      <c r="R223" s="32"/>
      <c r="S223" s="31">
        <f t="shared" si="79"/>
        <v>69.599999999999994</v>
      </c>
      <c r="T223" s="32"/>
      <c r="U223" s="31">
        <f t="shared" si="80"/>
        <v>105.7</v>
      </c>
      <c r="V223" s="32"/>
      <c r="W223" s="1"/>
    </row>
    <row r="224" spans="1:23" ht="14.4" x14ac:dyDescent="0.25">
      <c r="A224" s="150"/>
      <c r="B224" s="260" t="s">
        <v>372</v>
      </c>
      <c r="C224" s="73">
        <v>6.95</v>
      </c>
      <c r="D224" s="131">
        <v>10.57</v>
      </c>
      <c r="E224" s="33">
        <v>3</v>
      </c>
      <c r="F224" s="33"/>
      <c r="G224" s="268"/>
      <c r="H224" s="30">
        <f t="shared" si="76"/>
        <v>20.85</v>
      </c>
      <c r="I224" s="30"/>
      <c r="J224" s="30"/>
      <c r="K224" s="30"/>
      <c r="L224" s="30"/>
      <c r="M224" s="30"/>
      <c r="N224" s="30"/>
      <c r="O224" s="268"/>
      <c r="P224" s="268"/>
      <c r="Q224" s="268"/>
      <c r="R224" s="32"/>
      <c r="S224" s="31">
        <f t="shared" si="79"/>
        <v>20.85</v>
      </c>
      <c r="T224" s="32"/>
      <c r="U224" s="31">
        <f t="shared" si="80"/>
        <v>31.71</v>
      </c>
      <c r="V224" s="32"/>
      <c r="W224" s="1"/>
    </row>
    <row r="225" spans="1:23" ht="14.4" x14ac:dyDescent="0.25">
      <c r="A225" s="150"/>
      <c r="B225" s="260" t="s">
        <v>168</v>
      </c>
      <c r="C225" s="73">
        <v>15.9</v>
      </c>
      <c r="D225" s="131">
        <f>24.2-4</f>
        <v>20.2</v>
      </c>
      <c r="E225" s="33">
        <v>2</v>
      </c>
      <c r="F225" s="33"/>
      <c r="G225" s="268"/>
      <c r="H225" s="30">
        <f t="shared" si="76"/>
        <v>31.8</v>
      </c>
      <c r="I225" s="30"/>
      <c r="J225" s="30"/>
      <c r="K225" s="30"/>
      <c r="L225" s="30"/>
      <c r="M225" s="30"/>
      <c r="N225" s="30"/>
      <c r="O225" s="268"/>
      <c r="P225" s="268"/>
      <c r="Q225" s="268"/>
      <c r="R225" s="32"/>
      <c r="S225" s="31">
        <f t="shared" ref="S225:S227" si="81">H225</f>
        <v>31.8</v>
      </c>
      <c r="T225" s="31"/>
      <c r="U225" s="31">
        <f t="shared" ref="U225:U227" si="82">D225*E225</f>
        <v>40.4</v>
      </c>
      <c r="V225" s="32"/>
      <c r="W225" s="1"/>
    </row>
    <row r="226" spans="1:23" ht="14.4" x14ac:dyDescent="0.25">
      <c r="A226" s="150"/>
      <c r="B226" s="260" t="s">
        <v>373</v>
      </c>
      <c r="C226" s="73">
        <v>7.02</v>
      </c>
      <c r="D226" s="131">
        <f>10.87-2.5</f>
        <v>8.3699999999999992</v>
      </c>
      <c r="E226" s="33">
        <v>1</v>
      </c>
      <c r="F226" s="33"/>
      <c r="G226" s="268"/>
      <c r="H226" s="30">
        <f t="shared" si="76"/>
        <v>7.02</v>
      </c>
      <c r="I226" s="30"/>
      <c r="J226" s="30"/>
      <c r="K226" s="30"/>
      <c r="L226" s="30"/>
      <c r="M226" s="30"/>
      <c r="N226" s="30"/>
      <c r="O226" s="268"/>
      <c r="P226" s="268"/>
      <c r="Q226" s="268"/>
      <c r="R226" s="32"/>
      <c r="S226" s="31">
        <f t="shared" si="81"/>
        <v>7.02</v>
      </c>
      <c r="T226" s="32"/>
      <c r="U226" s="31">
        <f t="shared" si="82"/>
        <v>8.3699999999999992</v>
      </c>
      <c r="V226" s="32"/>
      <c r="W226" s="1"/>
    </row>
    <row r="227" spans="1:23" ht="14.4" x14ac:dyDescent="0.25">
      <c r="A227" s="150"/>
      <c r="B227" s="260" t="s">
        <v>373</v>
      </c>
      <c r="C227" s="73">
        <v>7.33</v>
      </c>
      <c r="D227" s="131">
        <f>10.87-2.5</f>
        <v>8.3699999999999992</v>
      </c>
      <c r="E227" s="33">
        <v>1</v>
      </c>
      <c r="F227" s="33"/>
      <c r="G227" s="268"/>
      <c r="H227" s="30">
        <f t="shared" si="76"/>
        <v>7.33</v>
      </c>
      <c r="I227" s="30"/>
      <c r="J227" s="30"/>
      <c r="K227" s="30"/>
      <c r="L227" s="30"/>
      <c r="M227" s="30"/>
      <c r="N227" s="30"/>
      <c r="O227" s="268"/>
      <c r="P227" s="268"/>
      <c r="Q227" s="268"/>
      <c r="R227" s="32"/>
      <c r="S227" s="31">
        <f t="shared" si="81"/>
        <v>7.33</v>
      </c>
      <c r="T227" s="32"/>
      <c r="U227" s="31">
        <f t="shared" si="82"/>
        <v>8.3699999999999992</v>
      </c>
      <c r="V227" s="32"/>
      <c r="W227" s="1"/>
    </row>
    <row r="228" spans="1:23" ht="19.95" customHeight="1" x14ac:dyDescent="0.25">
      <c r="B228" s="128" t="s">
        <v>22</v>
      </c>
      <c r="C228" s="129">
        <f>SUM(C172:C227)</f>
        <v>989.32999999999981</v>
      </c>
      <c r="D228" s="129"/>
      <c r="E228" s="129"/>
      <c r="F228" s="129"/>
      <c r="G228" s="129">
        <f t="shared" ref="G228:V228" si="83">SUM(G172:G227)</f>
        <v>0</v>
      </c>
      <c r="H228" s="129">
        <f t="shared" si="83"/>
        <v>1111.2199999999996</v>
      </c>
      <c r="I228" s="129">
        <f t="shared" si="83"/>
        <v>0</v>
      </c>
      <c r="J228" s="129">
        <f t="shared" si="83"/>
        <v>0</v>
      </c>
      <c r="K228" s="129">
        <f t="shared" si="83"/>
        <v>0</v>
      </c>
      <c r="L228" s="129">
        <f t="shared" si="83"/>
        <v>0</v>
      </c>
      <c r="M228" s="129">
        <f t="shared" si="83"/>
        <v>0</v>
      </c>
      <c r="N228" s="129">
        <f t="shared" si="83"/>
        <v>0</v>
      </c>
      <c r="O228" s="129">
        <f t="shared" si="83"/>
        <v>108.23</v>
      </c>
      <c r="P228" s="129">
        <f t="shared" si="83"/>
        <v>91.539999999999992</v>
      </c>
      <c r="Q228" s="129">
        <f t="shared" si="83"/>
        <v>2.1800000000000002</v>
      </c>
      <c r="R228" s="129">
        <f t="shared" si="83"/>
        <v>85.16</v>
      </c>
      <c r="S228" s="129">
        <f t="shared" si="83"/>
        <v>804.52999999999986</v>
      </c>
      <c r="T228" s="129">
        <f t="shared" si="83"/>
        <v>48.77</v>
      </c>
      <c r="U228" s="129">
        <f t="shared" si="83"/>
        <v>680.74000000000012</v>
      </c>
      <c r="V228" s="129">
        <f t="shared" si="83"/>
        <v>115.14999999999999</v>
      </c>
      <c r="W228" s="1"/>
    </row>
    <row r="229" spans="1:23" ht="19.95" customHeight="1" x14ac:dyDescent="0.25">
      <c r="B229" s="264"/>
      <c r="C229" s="265"/>
      <c r="D229" s="266"/>
      <c r="E229" s="129"/>
      <c r="F229" s="129"/>
      <c r="G229" s="129"/>
      <c r="H229" s="129"/>
      <c r="I229" s="141">
        <v>7</v>
      </c>
      <c r="J229" s="141">
        <v>8</v>
      </c>
      <c r="K229" s="141">
        <v>9</v>
      </c>
      <c r="L229" s="141">
        <v>12</v>
      </c>
      <c r="M229" s="141">
        <v>13</v>
      </c>
      <c r="N229" s="141">
        <v>14</v>
      </c>
      <c r="O229" s="224">
        <v>5</v>
      </c>
      <c r="P229" s="224">
        <v>4</v>
      </c>
      <c r="Q229" s="224">
        <v>2</v>
      </c>
      <c r="R229" s="224">
        <v>3</v>
      </c>
      <c r="S229" s="224">
        <v>1</v>
      </c>
      <c r="T229" s="224">
        <v>5</v>
      </c>
      <c r="U229" s="224">
        <v>1</v>
      </c>
      <c r="V229" s="224">
        <v>3</v>
      </c>
      <c r="W229" s="1"/>
    </row>
    <row r="230" spans="1:23" ht="49.95" customHeight="1" x14ac:dyDescent="0.25">
      <c r="B230" s="843" t="s">
        <v>16</v>
      </c>
      <c r="C230" s="838" t="s">
        <v>17</v>
      </c>
      <c r="D230" s="839" t="s">
        <v>18</v>
      </c>
      <c r="E230" s="842" t="s">
        <v>19</v>
      </c>
      <c r="F230" s="842" t="s">
        <v>13</v>
      </c>
      <c r="G230" s="842" t="s">
        <v>20</v>
      </c>
      <c r="H230" s="842" t="s">
        <v>21</v>
      </c>
      <c r="I230" s="855" t="s">
        <v>866</v>
      </c>
      <c r="J230" s="846" t="s">
        <v>867</v>
      </c>
      <c r="K230" s="855" t="s">
        <v>865</v>
      </c>
      <c r="L230" s="846" t="s">
        <v>868</v>
      </c>
      <c r="M230" s="846" t="s">
        <v>869</v>
      </c>
      <c r="N230" s="846" t="s">
        <v>870</v>
      </c>
      <c r="O230" s="838" t="s">
        <v>81</v>
      </c>
      <c r="P230" s="838" t="s">
        <v>80</v>
      </c>
      <c r="Q230" s="838" t="s">
        <v>70</v>
      </c>
      <c r="R230" s="838" t="s">
        <v>79</v>
      </c>
      <c r="S230" s="838" t="s">
        <v>78</v>
      </c>
      <c r="T230" s="848" t="s">
        <v>75</v>
      </c>
      <c r="U230" s="848" t="s">
        <v>71</v>
      </c>
      <c r="V230" s="848" t="s">
        <v>74</v>
      </c>
    </row>
    <row r="231" spans="1:23" ht="49.95" customHeight="1" x14ac:dyDescent="0.25">
      <c r="B231" s="852"/>
      <c r="C231" s="842"/>
      <c r="D231" s="838"/>
      <c r="E231" s="842"/>
      <c r="F231" s="842"/>
      <c r="G231" s="842"/>
      <c r="H231" s="842"/>
      <c r="I231" s="856"/>
      <c r="J231" s="847"/>
      <c r="K231" s="856"/>
      <c r="L231" s="847"/>
      <c r="M231" s="847"/>
      <c r="N231" s="847"/>
      <c r="O231" s="839"/>
      <c r="P231" s="839"/>
      <c r="Q231" s="839"/>
      <c r="R231" s="839"/>
      <c r="S231" s="839"/>
      <c r="T231" s="849"/>
      <c r="U231" s="849"/>
      <c r="V231" s="849"/>
    </row>
    <row r="232" spans="1:23" ht="15.6" x14ac:dyDescent="0.25">
      <c r="A232" s="141" t="s">
        <v>65</v>
      </c>
      <c r="B232" s="59" t="s">
        <v>60</v>
      </c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1"/>
    </row>
    <row r="233" spans="1:23" ht="14.4" x14ac:dyDescent="0.25">
      <c r="A233" s="559"/>
      <c r="B233" s="220" t="s">
        <v>168</v>
      </c>
      <c r="C233" s="603">
        <v>11.67</v>
      </c>
      <c r="D233" s="576">
        <v>14.83</v>
      </c>
      <c r="E233" s="33">
        <v>1</v>
      </c>
      <c r="F233" s="574"/>
      <c r="G233" s="574"/>
      <c r="H233" s="30">
        <f t="shared" ref="H233:H235" si="84">C233*E233</f>
        <v>11.67</v>
      </c>
      <c r="I233" s="30"/>
      <c r="J233" s="30"/>
      <c r="K233" s="30"/>
      <c r="L233" s="30"/>
      <c r="M233" s="30"/>
      <c r="N233" s="30"/>
      <c r="O233" s="574"/>
      <c r="P233" s="574"/>
      <c r="Q233" s="574"/>
      <c r="R233" s="574"/>
      <c r="S233" s="578">
        <f>H233</f>
        <v>11.67</v>
      </c>
      <c r="T233" s="574"/>
      <c r="U233" s="31">
        <f t="shared" ref="U233:U234" si="85">D233*E233</f>
        <v>14.83</v>
      </c>
      <c r="V233" s="574"/>
      <c r="W233" s="1"/>
    </row>
    <row r="234" spans="1:23" ht="14.4" x14ac:dyDescent="0.25">
      <c r="A234" s="559"/>
      <c r="B234" s="220" t="s">
        <v>258</v>
      </c>
      <c r="C234" s="603">
        <v>30.45</v>
      </c>
      <c r="D234" s="576">
        <v>28.18</v>
      </c>
      <c r="E234" s="33">
        <v>1</v>
      </c>
      <c r="F234" s="574"/>
      <c r="G234" s="574"/>
      <c r="H234" s="30">
        <f t="shared" si="84"/>
        <v>30.45</v>
      </c>
      <c r="I234" s="30"/>
      <c r="J234" s="30"/>
      <c r="K234" s="30"/>
      <c r="L234" s="30"/>
      <c r="M234" s="30"/>
      <c r="N234" s="30"/>
      <c r="O234" s="574"/>
      <c r="P234" s="574"/>
      <c r="Q234" s="574"/>
      <c r="R234" s="574"/>
      <c r="S234" s="578">
        <f>H234</f>
        <v>30.45</v>
      </c>
      <c r="T234" s="574"/>
      <c r="U234" s="31">
        <f t="shared" si="85"/>
        <v>28.18</v>
      </c>
      <c r="V234" s="574"/>
      <c r="W234" s="1"/>
    </row>
    <row r="235" spans="1:23" ht="14.4" x14ac:dyDescent="0.25">
      <c r="A235" s="559"/>
      <c r="B235" s="157" t="s">
        <v>346</v>
      </c>
      <c r="C235" s="566">
        <v>43.48</v>
      </c>
      <c r="D235" s="576">
        <v>27.85</v>
      </c>
      <c r="E235" s="33">
        <v>1</v>
      </c>
      <c r="F235" s="574"/>
      <c r="G235" s="574"/>
      <c r="H235" s="30">
        <f t="shared" si="84"/>
        <v>43.48</v>
      </c>
      <c r="I235" s="30"/>
      <c r="J235" s="30"/>
      <c r="K235" s="30"/>
      <c r="L235" s="30"/>
      <c r="M235" s="30"/>
      <c r="N235" s="30"/>
      <c r="O235" s="574"/>
      <c r="P235" s="578">
        <f>H235</f>
        <v>43.48</v>
      </c>
      <c r="Q235" s="574"/>
      <c r="R235" s="574"/>
      <c r="S235" s="574"/>
      <c r="T235" s="574"/>
      <c r="U235" s="574"/>
      <c r="V235" s="574"/>
      <c r="W235" s="1"/>
    </row>
    <row r="236" spans="1:23" ht="14.4" x14ac:dyDescent="0.25">
      <c r="A236" s="559"/>
      <c r="B236" s="157"/>
      <c r="C236" s="566">
        <v>9.35</v>
      </c>
      <c r="D236" s="576"/>
      <c r="E236" s="33">
        <v>1</v>
      </c>
      <c r="F236" s="574"/>
      <c r="G236" s="574"/>
      <c r="H236" s="30">
        <f t="shared" ref="H236" si="86">C236*E236</f>
        <v>9.35</v>
      </c>
      <c r="I236" s="30"/>
      <c r="J236" s="30"/>
      <c r="K236" s="30"/>
      <c r="L236" s="30"/>
      <c r="M236" s="30"/>
      <c r="N236" s="30"/>
      <c r="O236" s="574"/>
      <c r="P236" s="578">
        <f>H236</f>
        <v>9.35</v>
      </c>
      <c r="Q236" s="574"/>
      <c r="R236" s="574"/>
      <c r="S236" s="574"/>
      <c r="T236" s="574"/>
      <c r="U236" s="574"/>
      <c r="V236" s="574"/>
      <c r="W236" s="1"/>
    </row>
    <row r="237" spans="1:23" ht="14.4" x14ac:dyDescent="0.25">
      <c r="A237" s="559"/>
      <c r="B237" s="157" t="s">
        <v>724</v>
      </c>
      <c r="C237" s="566">
        <v>7.45</v>
      </c>
      <c r="D237" s="576">
        <v>10.93</v>
      </c>
      <c r="E237" s="33">
        <v>1</v>
      </c>
      <c r="F237" s="574"/>
      <c r="G237" s="574"/>
      <c r="H237" s="574"/>
      <c r="I237" s="574"/>
      <c r="J237" s="574"/>
      <c r="K237" s="574"/>
      <c r="L237" s="574"/>
      <c r="M237" s="574"/>
      <c r="N237" s="574"/>
      <c r="O237" s="574"/>
      <c r="P237" s="574"/>
      <c r="Q237" s="574"/>
      <c r="R237" s="574"/>
      <c r="S237" s="574"/>
      <c r="T237" s="574"/>
      <c r="U237" s="574"/>
      <c r="V237" s="574"/>
      <c r="W237" s="1"/>
    </row>
    <row r="238" spans="1:23" ht="14.4" x14ac:dyDescent="0.25">
      <c r="A238" s="559"/>
      <c r="B238" s="157" t="s">
        <v>725</v>
      </c>
      <c r="C238" s="566">
        <v>8.23</v>
      </c>
      <c r="D238" s="576">
        <v>11.56</v>
      </c>
      <c r="E238" s="33">
        <v>1</v>
      </c>
      <c r="F238" s="574"/>
      <c r="G238" s="574"/>
      <c r="H238" s="574"/>
      <c r="I238" s="574"/>
      <c r="J238" s="574"/>
      <c r="K238" s="574"/>
      <c r="L238" s="574"/>
      <c r="M238" s="574"/>
      <c r="N238" s="574"/>
      <c r="O238" s="574"/>
      <c r="P238" s="574"/>
      <c r="Q238" s="574"/>
      <c r="R238" s="574"/>
      <c r="S238" s="574"/>
      <c r="T238" s="574"/>
      <c r="U238" s="574"/>
      <c r="V238" s="574"/>
      <c r="W238" s="1"/>
    </row>
    <row r="239" spans="1:23" ht="14.4" x14ac:dyDescent="0.25">
      <c r="A239" s="563"/>
      <c r="B239" s="157" t="s">
        <v>726</v>
      </c>
      <c r="C239" s="186">
        <v>3.9</v>
      </c>
      <c r="D239" s="576">
        <v>8.33</v>
      </c>
      <c r="E239" s="33">
        <v>1</v>
      </c>
      <c r="F239" s="574"/>
      <c r="G239" s="574"/>
      <c r="H239" s="574"/>
      <c r="I239" s="574"/>
      <c r="J239" s="574"/>
      <c r="K239" s="574"/>
      <c r="L239" s="574"/>
      <c r="M239" s="574"/>
      <c r="N239" s="574"/>
      <c r="O239" s="574"/>
      <c r="P239" s="574"/>
      <c r="Q239" s="574"/>
      <c r="R239" s="574"/>
      <c r="S239" s="574"/>
      <c r="T239" s="574"/>
      <c r="U239" s="574"/>
      <c r="V239" s="574"/>
      <c r="W239" s="1"/>
    </row>
    <row r="240" spans="1:23" ht="14.4" x14ac:dyDescent="0.25">
      <c r="A240" s="150"/>
      <c r="B240" s="15" t="s">
        <v>205</v>
      </c>
      <c r="C240" s="73">
        <v>19.14</v>
      </c>
      <c r="D240" s="131">
        <v>17.95</v>
      </c>
      <c r="E240" s="33">
        <v>1</v>
      </c>
      <c r="F240" s="29"/>
      <c r="G240" s="30"/>
      <c r="H240" s="30">
        <f t="shared" ref="H240:H294" si="87">C240*E240</f>
        <v>19.14</v>
      </c>
      <c r="I240" s="156"/>
      <c r="J240" s="156"/>
      <c r="K240" s="156"/>
      <c r="L240" s="156"/>
      <c r="M240" s="156"/>
      <c r="N240" s="156"/>
      <c r="O240" s="156"/>
      <c r="P240" s="156"/>
      <c r="Q240" s="156"/>
      <c r="R240" s="31"/>
      <c r="S240" s="31">
        <f>H240</f>
        <v>19.14</v>
      </c>
      <c r="T240" s="31"/>
      <c r="U240" s="31">
        <f>D240*E240</f>
        <v>17.95</v>
      </c>
      <c r="V240" s="31"/>
      <c r="W240" s="1"/>
    </row>
    <row r="241" spans="1:23" ht="14.4" x14ac:dyDescent="0.25">
      <c r="A241" s="150"/>
      <c r="B241" s="15" t="s">
        <v>229</v>
      </c>
      <c r="C241" s="73">
        <v>0.45</v>
      </c>
      <c r="D241" s="131">
        <v>3.86</v>
      </c>
      <c r="E241" s="33">
        <v>1</v>
      </c>
      <c r="F241" s="29"/>
      <c r="G241" s="30"/>
      <c r="H241" s="30"/>
      <c r="I241" s="156"/>
      <c r="J241" s="156"/>
      <c r="K241" s="156"/>
      <c r="L241" s="156"/>
      <c r="M241" s="156"/>
      <c r="N241" s="156"/>
      <c r="O241" s="156"/>
      <c r="P241" s="156"/>
      <c r="Q241" s="156"/>
      <c r="R241" s="31"/>
      <c r="S241" s="31"/>
      <c r="T241" s="31"/>
      <c r="U241" s="31"/>
      <c r="V241" s="31"/>
      <c r="W241" s="1"/>
    </row>
    <row r="242" spans="1:23" ht="14.4" x14ac:dyDescent="0.25">
      <c r="A242" s="150"/>
      <c r="B242" s="15" t="s">
        <v>168</v>
      </c>
      <c r="C242" s="73">
        <v>9.25</v>
      </c>
      <c r="D242" s="131">
        <f>12.74-2.84</f>
        <v>9.9</v>
      </c>
      <c r="E242" s="33">
        <v>1</v>
      </c>
      <c r="F242" s="29"/>
      <c r="G242" s="30"/>
      <c r="H242" s="30">
        <f t="shared" si="87"/>
        <v>9.25</v>
      </c>
      <c r="I242" s="156"/>
      <c r="J242" s="156"/>
      <c r="K242" s="156"/>
      <c r="L242" s="156"/>
      <c r="M242" s="156"/>
      <c r="N242" s="156"/>
      <c r="O242" s="156"/>
      <c r="P242" s="156"/>
      <c r="Q242" s="156"/>
      <c r="R242" s="31"/>
      <c r="S242" s="31">
        <f>H242</f>
        <v>9.25</v>
      </c>
      <c r="T242" s="31"/>
      <c r="U242" s="31"/>
      <c r="V242" s="31"/>
      <c r="W242" s="1"/>
    </row>
    <row r="243" spans="1:23" ht="14.4" x14ac:dyDescent="0.25">
      <c r="A243" s="150"/>
      <c r="B243" s="15" t="s">
        <v>229</v>
      </c>
      <c r="C243" s="73">
        <v>3.03</v>
      </c>
      <c r="D243" s="131">
        <v>8.51</v>
      </c>
      <c r="E243" s="33">
        <v>1</v>
      </c>
      <c r="F243" s="29"/>
      <c r="G243" s="30"/>
      <c r="H243" s="30"/>
      <c r="I243" s="156"/>
      <c r="J243" s="156"/>
      <c r="K243" s="156"/>
      <c r="L243" s="156"/>
      <c r="M243" s="156"/>
      <c r="N243" s="156"/>
      <c r="O243" s="156"/>
      <c r="P243" s="156"/>
      <c r="Q243" s="156"/>
      <c r="R243" s="31"/>
      <c r="S243" s="31"/>
      <c r="T243" s="31"/>
      <c r="U243" s="31"/>
      <c r="V243" s="31"/>
      <c r="W243" s="1"/>
    </row>
    <row r="244" spans="1:23" ht="14.4" x14ac:dyDescent="0.25">
      <c r="A244" s="150"/>
      <c r="B244" s="220" t="s">
        <v>244</v>
      </c>
      <c r="C244" s="222">
        <v>14.17</v>
      </c>
      <c r="D244" s="131">
        <f>13.92-5.83</f>
        <v>8.09</v>
      </c>
      <c r="E244" s="33">
        <v>1</v>
      </c>
      <c r="F244" s="29"/>
      <c r="G244" s="30"/>
      <c r="H244" s="30">
        <f t="shared" si="87"/>
        <v>14.17</v>
      </c>
      <c r="I244" s="156"/>
      <c r="J244" s="156"/>
      <c r="K244" s="156"/>
      <c r="L244" s="156"/>
      <c r="M244" s="156"/>
      <c r="N244" s="156"/>
      <c r="O244" s="156"/>
      <c r="P244" s="156"/>
      <c r="Q244" s="156"/>
      <c r="R244" s="31"/>
      <c r="S244" s="31">
        <f t="shared" ref="S244:S247" si="88">H244</f>
        <v>14.17</v>
      </c>
      <c r="T244" s="31"/>
      <c r="U244" s="31"/>
      <c r="V244" s="31"/>
      <c r="W244" s="1"/>
    </row>
    <row r="245" spans="1:23" ht="14.4" x14ac:dyDescent="0.25">
      <c r="A245" s="150"/>
      <c r="B245" s="220" t="s">
        <v>168</v>
      </c>
      <c r="C245" s="222">
        <v>13.3</v>
      </c>
      <c r="D245" s="131">
        <f>14.87-6</f>
        <v>8.8699999999999992</v>
      </c>
      <c r="E245" s="33">
        <v>1</v>
      </c>
      <c r="F245" s="29"/>
      <c r="G245" s="30"/>
      <c r="H245" s="30">
        <f t="shared" si="87"/>
        <v>13.3</v>
      </c>
      <c r="I245" s="156"/>
      <c r="J245" s="156"/>
      <c r="K245" s="156"/>
      <c r="L245" s="156"/>
      <c r="M245" s="156"/>
      <c r="N245" s="156"/>
      <c r="O245" s="156"/>
      <c r="P245" s="156"/>
      <c r="Q245" s="156"/>
      <c r="R245" s="31"/>
      <c r="S245" s="31">
        <f t="shared" si="88"/>
        <v>13.3</v>
      </c>
      <c r="T245" s="31"/>
      <c r="U245" s="31"/>
      <c r="V245" s="31"/>
      <c r="W245" s="1"/>
    </row>
    <row r="246" spans="1:23" ht="14.4" x14ac:dyDescent="0.25">
      <c r="A246" s="150"/>
      <c r="B246" s="15" t="s">
        <v>229</v>
      </c>
      <c r="C246" s="73">
        <v>1.1000000000000001</v>
      </c>
      <c r="D246" s="131">
        <v>7.44</v>
      </c>
      <c r="E246" s="33">
        <v>1</v>
      </c>
      <c r="F246" s="29"/>
      <c r="G246" s="30"/>
      <c r="H246" s="30"/>
      <c r="I246" s="156"/>
      <c r="J246" s="156"/>
      <c r="K246" s="156"/>
      <c r="L246" s="156"/>
      <c r="M246" s="156"/>
      <c r="N246" s="156"/>
      <c r="O246" s="156"/>
      <c r="P246" s="156"/>
      <c r="Q246" s="156"/>
      <c r="R246" s="31"/>
      <c r="S246" s="31"/>
      <c r="T246" s="31"/>
      <c r="U246" s="31"/>
      <c r="V246" s="31"/>
      <c r="W246" s="1"/>
    </row>
    <row r="247" spans="1:23" ht="14.4" x14ac:dyDescent="0.25">
      <c r="A247" s="150"/>
      <c r="B247" s="220" t="s">
        <v>168</v>
      </c>
      <c r="C247" s="222">
        <v>98.13</v>
      </c>
      <c r="D247" s="131">
        <f>91.31-7.75</f>
        <v>83.56</v>
      </c>
      <c r="E247" s="33">
        <v>1</v>
      </c>
      <c r="F247" s="29"/>
      <c r="G247" s="30"/>
      <c r="H247" s="30">
        <f t="shared" si="87"/>
        <v>98.13</v>
      </c>
      <c r="I247" s="156"/>
      <c r="J247" s="156"/>
      <c r="K247" s="156"/>
      <c r="L247" s="156"/>
      <c r="M247" s="156"/>
      <c r="N247" s="156"/>
      <c r="O247" s="156"/>
      <c r="P247" s="156"/>
      <c r="Q247" s="156"/>
      <c r="R247" s="31"/>
      <c r="S247" s="31">
        <f t="shared" si="88"/>
        <v>98.13</v>
      </c>
      <c r="T247" s="31"/>
      <c r="U247" s="31"/>
      <c r="V247" s="31"/>
      <c r="W247" s="1"/>
    </row>
    <row r="248" spans="1:23" ht="14.4" x14ac:dyDescent="0.25">
      <c r="A248" s="150"/>
      <c r="B248" s="15" t="s">
        <v>245</v>
      </c>
      <c r="C248" s="73">
        <v>12.12</v>
      </c>
      <c r="D248" s="131">
        <v>14.39</v>
      </c>
      <c r="E248" s="33">
        <v>1</v>
      </c>
      <c r="F248" s="29"/>
      <c r="G248" s="30"/>
      <c r="H248" s="30">
        <f t="shared" si="87"/>
        <v>12.12</v>
      </c>
      <c r="I248" s="156"/>
      <c r="J248" s="156"/>
      <c r="K248" s="156"/>
      <c r="L248" s="156"/>
      <c r="M248" s="156"/>
      <c r="N248" s="156"/>
      <c r="O248" s="156"/>
      <c r="P248" s="156"/>
      <c r="Q248" s="156"/>
      <c r="R248" s="31"/>
      <c r="S248" s="31">
        <f t="shared" ref="S248:S285" si="89">H248</f>
        <v>12.12</v>
      </c>
      <c r="T248" s="31"/>
      <c r="U248" s="31">
        <f t="shared" ref="U248:U285" si="90">D248*E248</f>
        <v>14.39</v>
      </c>
      <c r="V248" s="31"/>
      <c r="W248" s="1"/>
    </row>
    <row r="249" spans="1:23" ht="14.4" x14ac:dyDescent="0.25">
      <c r="A249" s="150"/>
      <c r="B249" s="15" t="s">
        <v>168</v>
      </c>
      <c r="C249" s="73">
        <v>7.72</v>
      </c>
      <c r="D249" s="131">
        <f>15.27-2.4</f>
        <v>12.87</v>
      </c>
      <c r="E249" s="33">
        <v>1</v>
      </c>
      <c r="F249" s="29"/>
      <c r="G249" s="30"/>
      <c r="H249" s="30">
        <f t="shared" si="87"/>
        <v>7.72</v>
      </c>
      <c r="I249" s="156"/>
      <c r="J249" s="156"/>
      <c r="K249" s="156"/>
      <c r="L249" s="156"/>
      <c r="M249" s="156"/>
      <c r="N249" s="156"/>
      <c r="O249" s="156"/>
      <c r="P249" s="156"/>
      <c r="Q249" s="156"/>
      <c r="R249" s="31"/>
      <c r="S249" s="31">
        <f t="shared" si="89"/>
        <v>7.72</v>
      </c>
      <c r="T249" s="31"/>
      <c r="U249" s="31"/>
      <c r="V249" s="31"/>
      <c r="W249" s="1"/>
    </row>
    <row r="250" spans="1:23" ht="14.4" x14ac:dyDescent="0.25">
      <c r="A250" s="150"/>
      <c r="B250" s="220" t="s">
        <v>246</v>
      </c>
      <c r="C250" s="222">
        <v>10.18</v>
      </c>
      <c r="D250" s="131">
        <f>13.46-2.34</f>
        <v>11.120000000000001</v>
      </c>
      <c r="E250" s="33">
        <v>1</v>
      </c>
      <c r="F250" s="29"/>
      <c r="G250" s="30"/>
      <c r="H250" s="30">
        <f t="shared" si="87"/>
        <v>10.18</v>
      </c>
      <c r="I250" s="156"/>
      <c r="J250" s="156"/>
      <c r="K250" s="156"/>
      <c r="L250" s="156"/>
      <c r="M250" s="156"/>
      <c r="N250" s="156"/>
      <c r="O250" s="156"/>
      <c r="P250" s="156"/>
      <c r="Q250" s="156"/>
      <c r="R250" s="31"/>
      <c r="S250" s="31">
        <f t="shared" si="89"/>
        <v>10.18</v>
      </c>
      <c r="T250" s="31"/>
      <c r="U250" s="31"/>
      <c r="V250" s="31"/>
      <c r="W250" s="1"/>
    </row>
    <row r="251" spans="1:23" ht="14.4" x14ac:dyDescent="0.25">
      <c r="A251" s="150"/>
      <c r="B251" s="15" t="s">
        <v>247</v>
      </c>
      <c r="C251" s="73">
        <v>5.0999999999999996</v>
      </c>
      <c r="D251" s="131">
        <v>9.27</v>
      </c>
      <c r="E251" s="33">
        <v>1</v>
      </c>
      <c r="F251" s="29"/>
      <c r="G251" s="30"/>
      <c r="H251" s="30">
        <f t="shared" si="87"/>
        <v>5.0999999999999996</v>
      </c>
      <c r="I251" s="156"/>
      <c r="J251" s="156"/>
      <c r="K251" s="156"/>
      <c r="L251" s="156"/>
      <c r="M251" s="156"/>
      <c r="N251" s="156"/>
      <c r="O251" s="156"/>
      <c r="P251" s="156"/>
      <c r="Q251" s="156"/>
      <c r="R251" s="31"/>
      <c r="S251" s="31">
        <f t="shared" si="89"/>
        <v>5.0999999999999996</v>
      </c>
      <c r="T251" s="31"/>
      <c r="U251" s="31">
        <f t="shared" si="90"/>
        <v>9.27</v>
      </c>
      <c r="V251" s="31"/>
      <c r="W251" s="1"/>
    </row>
    <row r="252" spans="1:23" ht="14.4" x14ac:dyDescent="0.25">
      <c r="A252" s="150"/>
      <c r="B252" s="220" t="s">
        <v>248</v>
      </c>
      <c r="C252" s="222">
        <v>13.87</v>
      </c>
      <c r="D252" s="131">
        <v>15.41</v>
      </c>
      <c r="E252" s="33">
        <v>1</v>
      </c>
      <c r="F252" s="29"/>
      <c r="G252" s="30"/>
      <c r="H252" s="30">
        <f t="shared" si="87"/>
        <v>13.87</v>
      </c>
      <c r="I252" s="156"/>
      <c r="J252" s="156"/>
      <c r="K252" s="156"/>
      <c r="L252" s="156"/>
      <c r="M252" s="156"/>
      <c r="N252" s="156"/>
      <c r="O252" s="156"/>
      <c r="P252" s="156"/>
      <c r="Q252" s="156"/>
      <c r="R252" s="31"/>
      <c r="S252" s="31">
        <f t="shared" si="89"/>
        <v>13.87</v>
      </c>
      <c r="T252" s="31"/>
      <c r="U252" s="31">
        <f t="shared" si="90"/>
        <v>15.41</v>
      </c>
      <c r="V252" s="31"/>
      <c r="W252" s="1"/>
    </row>
    <row r="253" spans="1:23" ht="14.4" x14ac:dyDescent="0.25">
      <c r="A253" s="150"/>
      <c r="B253" s="15" t="s">
        <v>249</v>
      </c>
      <c r="C253" s="73">
        <v>7.18</v>
      </c>
      <c r="D253" s="131">
        <v>10.75</v>
      </c>
      <c r="E253" s="33">
        <v>1</v>
      </c>
      <c r="F253" s="29"/>
      <c r="G253" s="30"/>
      <c r="H253" s="30">
        <f t="shared" si="87"/>
        <v>7.18</v>
      </c>
      <c r="I253" s="156"/>
      <c r="J253" s="156"/>
      <c r="K253" s="156"/>
      <c r="L253" s="156"/>
      <c r="M253" s="156"/>
      <c r="N253" s="156"/>
      <c r="O253" s="156"/>
      <c r="P253" s="156"/>
      <c r="Q253" s="156"/>
      <c r="R253" s="31"/>
      <c r="S253" s="31">
        <f t="shared" si="89"/>
        <v>7.18</v>
      </c>
      <c r="T253" s="31"/>
      <c r="U253" s="31">
        <f t="shared" si="90"/>
        <v>10.75</v>
      </c>
      <c r="V253" s="31"/>
      <c r="W253" s="1"/>
    </row>
    <row r="254" spans="1:23" ht="14.4" x14ac:dyDescent="0.25">
      <c r="A254" s="150"/>
      <c r="B254" s="15" t="s">
        <v>250</v>
      </c>
      <c r="C254" s="73">
        <v>3.3</v>
      </c>
      <c r="D254" s="131">
        <v>7.27</v>
      </c>
      <c r="E254" s="33">
        <v>1</v>
      </c>
      <c r="F254" s="29"/>
      <c r="G254" s="30"/>
      <c r="H254" s="30">
        <f t="shared" si="87"/>
        <v>3.3</v>
      </c>
      <c r="I254" s="156"/>
      <c r="J254" s="156"/>
      <c r="K254" s="156"/>
      <c r="L254" s="156"/>
      <c r="M254" s="156"/>
      <c r="N254" s="156"/>
      <c r="O254" s="156"/>
      <c r="P254" s="156"/>
      <c r="Q254" s="156"/>
      <c r="R254" s="31"/>
      <c r="S254" s="31">
        <f t="shared" si="89"/>
        <v>3.3</v>
      </c>
      <c r="T254" s="31"/>
      <c r="U254" s="31">
        <f t="shared" si="90"/>
        <v>7.27</v>
      </c>
      <c r="V254" s="31"/>
      <c r="W254" s="1"/>
    </row>
    <row r="255" spans="1:23" ht="14.4" x14ac:dyDescent="0.25">
      <c r="A255" s="150"/>
      <c r="B255" s="15" t="s">
        <v>251</v>
      </c>
      <c r="C255" s="73">
        <v>3.91</v>
      </c>
      <c r="D255" s="131">
        <v>7.94</v>
      </c>
      <c r="E255" s="33">
        <v>1</v>
      </c>
      <c r="F255" s="29"/>
      <c r="G255" s="30"/>
      <c r="H255" s="30">
        <f t="shared" si="87"/>
        <v>3.91</v>
      </c>
      <c r="I255" s="156"/>
      <c r="J255" s="156"/>
      <c r="K255" s="156"/>
      <c r="L255" s="156"/>
      <c r="M255" s="156"/>
      <c r="N255" s="156"/>
      <c r="O255" s="156"/>
      <c r="P255" s="156"/>
      <c r="Q255" s="156"/>
      <c r="R255" s="31">
        <f>H255</f>
        <v>3.91</v>
      </c>
      <c r="S255" s="31"/>
      <c r="T255" s="31"/>
      <c r="U255" s="31"/>
      <c r="V255" s="31">
        <f>D255*E255</f>
        <v>7.94</v>
      </c>
      <c r="W255" s="1"/>
    </row>
    <row r="256" spans="1:23" ht="14.4" x14ac:dyDescent="0.25">
      <c r="A256" s="150"/>
      <c r="B256" s="15" t="s">
        <v>252</v>
      </c>
      <c r="C256" s="73">
        <v>3.74</v>
      </c>
      <c r="D256" s="131">
        <v>7.75</v>
      </c>
      <c r="E256" s="33">
        <v>1</v>
      </c>
      <c r="F256" s="29"/>
      <c r="G256" s="30"/>
      <c r="H256" s="30">
        <f t="shared" si="87"/>
        <v>3.74</v>
      </c>
      <c r="I256" s="156"/>
      <c r="J256" s="156"/>
      <c r="K256" s="156"/>
      <c r="L256" s="156"/>
      <c r="M256" s="156"/>
      <c r="N256" s="156"/>
      <c r="O256" s="156"/>
      <c r="P256" s="156"/>
      <c r="Q256" s="156"/>
      <c r="R256" s="31">
        <f>H256</f>
        <v>3.74</v>
      </c>
      <c r="S256" s="31"/>
      <c r="T256" s="31"/>
      <c r="U256" s="31"/>
      <c r="V256" s="31">
        <f>D256*E256</f>
        <v>7.75</v>
      </c>
      <c r="W256" s="1"/>
    </row>
    <row r="257" spans="1:23" ht="14.4" x14ac:dyDescent="0.25">
      <c r="A257" s="150"/>
      <c r="B257" s="15" t="s">
        <v>168</v>
      </c>
      <c r="C257" s="73">
        <v>7.99</v>
      </c>
      <c r="D257" s="131">
        <f>17.36-1.05</f>
        <v>16.309999999999999</v>
      </c>
      <c r="E257" s="33">
        <v>1</v>
      </c>
      <c r="F257" s="29"/>
      <c r="G257" s="30"/>
      <c r="H257" s="30">
        <f t="shared" si="87"/>
        <v>7.99</v>
      </c>
      <c r="I257" s="156"/>
      <c r="J257" s="156"/>
      <c r="K257" s="156"/>
      <c r="L257" s="156"/>
      <c r="M257" s="156"/>
      <c r="N257" s="156"/>
      <c r="O257" s="156"/>
      <c r="P257" s="156"/>
      <c r="Q257" s="156"/>
      <c r="R257" s="31"/>
      <c r="S257" s="31">
        <f t="shared" si="89"/>
        <v>7.99</v>
      </c>
      <c r="T257" s="31"/>
      <c r="U257" s="31"/>
      <c r="V257" s="31"/>
      <c r="W257" s="1"/>
    </row>
    <row r="258" spans="1:23" ht="14.4" x14ac:dyDescent="0.25">
      <c r="A258" s="150"/>
      <c r="B258" s="15" t="s">
        <v>253</v>
      </c>
      <c r="C258" s="73">
        <v>9.51</v>
      </c>
      <c r="D258" s="131">
        <v>12.82</v>
      </c>
      <c r="E258" s="33">
        <v>1</v>
      </c>
      <c r="F258" s="29"/>
      <c r="G258" s="30"/>
      <c r="H258" s="30">
        <f t="shared" si="87"/>
        <v>9.51</v>
      </c>
      <c r="I258" s="156"/>
      <c r="J258" s="156"/>
      <c r="K258" s="156"/>
      <c r="L258" s="156"/>
      <c r="M258" s="156"/>
      <c r="N258" s="156"/>
      <c r="O258" s="156"/>
      <c r="P258" s="156"/>
      <c r="Q258" s="156"/>
      <c r="R258" s="31"/>
      <c r="S258" s="31">
        <f t="shared" si="89"/>
        <v>9.51</v>
      </c>
      <c r="T258" s="31"/>
      <c r="U258" s="31">
        <f t="shared" si="90"/>
        <v>12.82</v>
      </c>
      <c r="V258" s="31"/>
      <c r="W258" s="1"/>
    </row>
    <row r="259" spans="1:23" ht="14.4" x14ac:dyDescent="0.25">
      <c r="A259" s="150"/>
      <c r="B259" s="15" t="s">
        <v>213</v>
      </c>
      <c r="C259" s="73">
        <v>3.09</v>
      </c>
      <c r="D259" s="131">
        <v>7.21</v>
      </c>
      <c r="E259" s="33">
        <v>1</v>
      </c>
      <c r="F259" s="29"/>
      <c r="G259" s="30"/>
      <c r="H259" s="30">
        <f t="shared" si="87"/>
        <v>3.09</v>
      </c>
      <c r="I259" s="156"/>
      <c r="J259" s="156"/>
      <c r="K259" s="156"/>
      <c r="L259" s="156"/>
      <c r="M259" s="156"/>
      <c r="N259" s="156"/>
      <c r="O259" s="156"/>
      <c r="P259" s="156"/>
      <c r="Q259" s="156"/>
      <c r="R259" s="31">
        <f>H259</f>
        <v>3.09</v>
      </c>
      <c r="S259" s="31"/>
      <c r="T259" s="31"/>
      <c r="U259" s="31"/>
      <c r="V259" s="31">
        <f>D259*E259</f>
        <v>7.21</v>
      </c>
      <c r="W259" s="1"/>
    </row>
    <row r="260" spans="1:23" ht="14.4" x14ac:dyDescent="0.25">
      <c r="A260" s="150"/>
      <c r="B260" s="15" t="s">
        <v>254</v>
      </c>
      <c r="C260" s="73">
        <v>9.7799999999999994</v>
      </c>
      <c r="D260" s="131">
        <v>12.95</v>
      </c>
      <c r="E260" s="33">
        <v>1</v>
      </c>
      <c r="F260" s="29"/>
      <c r="G260" s="30"/>
      <c r="H260" s="30">
        <f t="shared" si="87"/>
        <v>9.7799999999999994</v>
      </c>
      <c r="I260" s="156"/>
      <c r="J260" s="156"/>
      <c r="K260" s="156"/>
      <c r="L260" s="156"/>
      <c r="M260" s="156"/>
      <c r="N260" s="156"/>
      <c r="O260" s="156"/>
      <c r="P260" s="156"/>
      <c r="Q260" s="156"/>
      <c r="R260" s="31"/>
      <c r="S260" s="31">
        <f t="shared" si="89"/>
        <v>9.7799999999999994</v>
      </c>
      <c r="T260" s="31"/>
      <c r="U260" s="31">
        <f t="shared" si="90"/>
        <v>12.95</v>
      </c>
      <c r="V260" s="31"/>
      <c r="W260" s="1"/>
    </row>
    <row r="261" spans="1:23" ht="14.4" x14ac:dyDescent="0.25">
      <c r="A261" s="150"/>
      <c r="B261" s="15" t="s">
        <v>213</v>
      </c>
      <c r="C261" s="73">
        <v>3.18</v>
      </c>
      <c r="D261" s="131">
        <v>7.34</v>
      </c>
      <c r="E261" s="33">
        <v>1</v>
      </c>
      <c r="F261" s="29"/>
      <c r="G261" s="30"/>
      <c r="H261" s="30">
        <f t="shared" si="87"/>
        <v>3.18</v>
      </c>
      <c r="I261" s="156"/>
      <c r="J261" s="156"/>
      <c r="K261" s="156"/>
      <c r="L261" s="156"/>
      <c r="M261" s="156"/>
      <c r="N261" s="156"/>
      <c r="O261" s="156"/>
      <c r="P261" s="156"/>
      <c r="Q261" s="156"/>
      <c r="R261" s="31">
        <f>H261</f>
        <v>3.18</v>
      </c>
      <c r="S261" s="31"/>
      <c r="T261" s="31"/>
      <c r="U261" s="31"/>
      <c r="V261" s="31">
        <f t="shared" ref="V261:V263" si="91">D261*E261</f>
        <v>7.34</v>
      </c>
      <c r="W261" s="1"/>
    </row>
    <row r="262" spans="1:23" ht="14.4" x14ac:dyDescent="0.25">
      <c r="A262" s="150"/>
      <c r="B262" s="15" t="s">
        <v>255</v>
      </c>
      <c r="C262" s="73">
        <v>1.86</v>
      </c>
      <c r="D262" s="131">
        <v>5.56</v>
      </c>
      <c r="E262" s="33">
        <v>1</v>
      </c>
      <c r="F262" s="29"/>
      <c r="G262" s="30"/>
      <c r="H262" s="30">
        <f t="shared" si="87"/>
        <v>1.86</v>
      </c>
      <c r="I262" s="156"/>
      <c r="J262" s="156"/>
      <c r="K262" s="156"/>
      <c r="L262" s="156"/>
      <c r="M262" s="156"/>
      <c r="N262" s="156"/>
      <c r="O262" s="156"/>
      <c r="P262" s="156"/>
      <c r="Q262" s="156"/>
      <c r="R262" s="31">
        <f t="shared" ref="R262:R263" si="92">H262</f>
        <v>1.86</v>
      </c>
      <c r="S262" s="31"/>
      <c r="T262" s="31"/>
      <c r="U262" s="31"/>
      <c r="V262" s="31">
        <f t="shared" si="91"/>
        <v>5.56</v>
      </c>
      <c r="W262" s="1"/>
    </row>
    <row r="263" spans="1:23" ht="14.4" x14ac:dyDescent="0.25">
      <c r="A263" s="150"/>
      <c r="B263" s="15" t="s">
        <v>256</v>
      </c>
      <c r="C263" s="73">
        <v>1.93</v>
      </c>
      <c r="D263" s="131">
        <v>5.64</v>
      </c>
      <c r="E263" s="33">
        <v>1</v>
      </c>
      <c r="F263" s="29"/>
      <c r="G263" s="30"/>
      <c r="H263" s="30">
        <f t="shared" si="87"/>
        <v>1.93</v>
      </c>
      <c r="I263" s="156"/>
      <c r="J263" s="156"/>
      <c r="K263" s="156"/>
      <c r="L263" s="156"/>
      <c r="M263" s="156"/>
      <c r="N263" s="156"/>
      <c r="O263" s="156"/>
      <c r="P263" s="156"/>
      <c r="Q263" s="156"/>
      <c r="R263" s="31">
        <f t="shared" si="92"/>
        <v>1.93</v>
      </c>
      <c r="S263" s="31"/>
      <c r="T263" s="31"/>
      <c r="U263" s="31"/>
      <c r="V263" s="31">
        <f t="shared" si="91"/>
        <v>5.64</v>
      </c>
      <c r="W263" s="1"/>
    </row>
    <row r="264" spans="1:23" ht="14.4" x14ac:dyDescent="0.25">
      <c r="A264" s="150"/>
      <c r="B264" s="15" t="s">
        <v>257</v>
      </c>
      <c r="C264" s="73">
        <v>6.22</v>
      </c>
      <c r="D264" s="131">
        <v>9.9700000000000006</v>
      </c>
      <c r="E264" s="33">
        <v>1</v>
      </c>
      <c r="F264" s="29"/>
      <c r="G264" s="30"/>
      <c r="H264" s="30">
        <f t="shared" si="87"/>
        <v>6.22</v>
      </c>
      <c r="I264" s="156"/>
      <c r="J264" s="156"/>
      <c r="K264" s="156"/>
      <c r="L264" s="156"/>
      <c r="M264" s="156"/>
      <c r="N264" s="156"/>
      <c r="O264" s="156"/>
      <c r="P264" s="156"/>
      <c r="Q264" s="156">
        <f>H264</f>
        <v>6.22</v>
      </c>
      <c r="R264" s="31"/>
      <c r="S264" s="31"/>
      <c r="T264" s="31"/>
      <c r="U264" s="31"/>
      <c r="V264" s="31"/>
      <c r="W264" s="1"/>
    </row>
    <row r="265" spans="1:23" ht="14.4" x14ac:dyDescent="0.25">
      <c r="A265" s="150"/>
      <c r="B265" s="15" t="s">
        <v>158</v>
      </c>
      <c r="C265" s="73">
        <v>2.94</v>
      </c>
      <c r="D265" s="131">
        <v>7.3</v>
      </c>
      <c r="E265" s="33">
        <v>1</v>
      </c>
      <c r="F265" s="29"/>
      <c r="G265" s="30"/>
      <c r="H265" s="30">
        <f t="shared" si="87"/>
        <v>2.94</v>
      </c>
      <c r="I265" s="156"/>
      <c r="J265" s="156"/>
      <c r="K265" s="156"/>
      <c r="L265" s="156"/>
      <c r="M265" s="156"/>
      <c r="N265" s="156"/>
      <c r="O265" s="156"/>
      <c r="P265" s="156"/>
      <c r="Q265" s="156">
        <f>H265</f>
        <v>2.94</v>
      </c>
      <c r="R265" s="31"/>
      <c r="S265" s="31"/>
      <c r="T265" s="31"/>
      <c r="U265" s="31"/>
      <c r="V265" s="31"/>
      <c r="W265" s="1"/>
    </row>
    <row r="266" spans="1:23" ht="14.4" x14ac:dyDescent="0.25">
      <c r="A266" s="150"/>
      <c r="B266" s="15" t="s">
        <v>258</v>
      </c>
      <c r="C266" s="73">
        <v>5.4</v>
      </c>
      <c r="D266" s="131">
        <v>9.4</v>
      </c>
      <c r="E266" s="33">
        <v>1</v>
      </c>
      <c r="F266" s="29"/>
      <c r="G266" s="30"/>
      <c r="H266" s="30">
        <f t="shared" si="87"/>
        <v>5.4</v>
      </c>
      <c r="I266" s="156"/>
      <c r="J266" s="156"/>
      <c r="K266" s="156"/>
      <c r="L266" s="156"/>
      <c r="M266" s="156"/>
      <c r="N266" s="156"/>
      <c r="O266" s="156"/>
      <c r="P266" s="156"/>
      <c r="Q266" s="156"/>
      <c r="R266" s="31"/>
      <c r="S266" s="31">
        <f t="shared" si="89"/>
        <v>5.4</v>
      </c>
      <c r="T266" s="31"/>
      <c r="U266" s="31"/>
      <c r="V266" s="31"/>
      <c r="W266" s="1"/>
    </row>
    <row r="267" spans="1:23" ht="14.4" x14ac:dyDescent="0.25">
      <c r="A267" s="150"/>
      <c r="B267" s="15" t="s">
        <v>259</v>
      </c>
      <c r="C267" s="73">
        <v>17.41</v>
      </c>
      <c r="D267" s="131">
        <v>17.48</v>
      </c>
      <c r="E267" s="33">
        <v>1</v>
      </c>
      <c r="F267" s="29"/>
      <c r="G267" s="30"/>
      <c r="H267" s="30">
        <f t="shared" si="87"/>
        <v>17.41</v>
      </c>
      <c r="I267" s="156"/>
      <c r="J267" s="156"/>
      <c r="K267" s="156"/>
      <c r="L267" s="156"/>
      <c r="M267" s="156"/>
      <c r="N267" s="156"/>
      <c r="O267" s="156"/>
      <c r="P267" s="156"/>
      <c r="Q267" s="156"/>
      <c r="R267" s="31"/>
      <c r="S267" s="31">
        <f t="shared" si="89"/>
        <v>17.41</v>
      </c>
      <c r="T267" s="31"/>
      <c r="U267" s="31"/>
      <c r="V267" s="31"/>
      <c r="W267" s="1"/>
    </row>
    <row r="268" spans="1:23" ht="14.4" x14ac:dyDescent="0.25">
      <c r="A268" s="150"/>
      <c r="B268" s="15" t="s">
        <v>260</v>
      </c>
      <c r="C268" s="73">
        <v>4.59</v>
      </c>
      <c r="D268" s="131">
        <v>8.8000000000000007</v>
      </c>
      <c r="E268" s="33">
        <v>1</v>
      </c>
      <c r="F268" s="29"/>
      <c r="G268" s="30"/>
      <c r="H268" s="30">
        <f t="shared" si="87"/>
        <v>4.59</v>
      </c>
      <c r="I268" s="156"/>
      <c r="J268" s="156"/>
      <c r="K268" s="156"/>
      <c r="L268" s="156"/>
      <c r="M268" s="156"/>
      <c r="N268" s="156"/>
      <c r="O268" s="156"/>
      <c r="P268" s="156"/>
      <c r="Q268" s="156"/>
      <c r="R268" s="31">
        <f>H268</f>
        <v>4.59</v>
      </c>
      <c r="S268" s="31"/>
      <c r="T268" s="31"/>
      <c r="U268" s="31"/>
      <c r="V268" s="31">
        <f>D268*E268</f>
        <v>8.8000000000000007</v>
      </c>
      <c r="W268" s="1"/>
    </row>
    <row r="269" spans="1:23" ht="14.4" x14ac:dyDescent="0.25">
      <c r="A269" s="150"/>
      <c r="B269" s="15" t="s">
        <v>282</v>
      </c>
      <c r="C269" s="73">
        <v>4.59</v>
      </c>
      <c r="D269" s="131">
        <v>8.8000000000000007</v>
      </c>
      <c r="E269" s="33">
        <v>1</v>
      </c>
      <c r="F269" s="29"/>
      <c r="G269" s="30"/>
      <c r="H269" s="30">
        <f t="shared" si="87"/>
        <v>4.59</v>
      </c>
      <c r="I269" s="156"/>
      <c r="J269" s="156"/>
      <c r="K269" s="156"/>
      <c r="L269" s="156"/>
      <c r="M269" s="156"/>
      <c r="N269" s="156"/>
      <c r="O269" s="156"/>
      <c r="P269" s="156"/>
      <c r="Q269" s="156"/>
      <c r="R269" s="31"/>
      <c r="S269" s="31">
        <f t="shared" si="89"/>
        <v>4.59</v>
      </c>
      <c r="T269" s="31"/>
      <c r="U269" s="31">
        <f t="shared" si="90"/>
        <v>8.8000000000000007</v>
      </c>
      <c r="V269" s="31"/>
      <c r="W269" s="1"/>
    </row>
    <row r="270" spans="1:23" ht="14.4" x14ac:dyDescent="0.25">
      <c r="A270" s="150"/>
      <c r="B270" s="15" t="s">
        <v>261</v>
      </c>
      <c r="C270" s="73">
        <v>2.58</v>
      </c>
      <c r="D270" s="131">
        <v>6.6</v>
      </c>
      <c r="E270" s="33">
        <v>1</v>
      </c>
      <c r="F270" s="29"/>
      <c r="G270" s="30"/>
      <c r="H270" s="30">
        <f t="shared" si="87"/>
        <v>2.58</v>
      </c>
      <c r="I270" s="156"/>
      <c r="J270" s="156"/>
      <c r="K270" s="156"/>
      <c r="L270" s="156"/>
      <c r="M270" s="156"/>
      <c r="N270" s="156"/>
      <c r="O270" s="156"/>
      <c r="P270" s="156"/>
      <c r="Q270" s="156"/>
      <c r="R270" s="31"/>
      <c r="S270" s="31">
        <f t="shared" si="89"/>
        <v>2.58</v>
      </c>
      <c r="T270" s="31"/>
      <c r="U270" s="31">
        <f t="shared" si="90"/>
        <v>6.6</v>
      </c>
      <c r="V270" s="31"/>
      <c r="W270" s="1"/>
    </row>
    <row r="271" spans="1:23" ht="14.4" x14ac:dyDescent="0.25">
      <c r="A271" s="150"/>
      <c r="B271" s="15" t="s">
        <v>262</v>
      </c>
      <c r="C271" s="73">
        <v>11.23</v>
      </c>
      <c r="D271" s="131">
        <f>13.6-1.77</f>
        <v>11.83</v>
      </c>
      <c r="E271" s="33">
        <v>1</v>
      </c>
      <c r="F271" s="29"/>
      <c r="G271" s="30"/>
      <c r="H271" s="30">
        <f t="shared" si="87"/>
        <v>11.23</v>
      </c>
      <c r="I271" s="156"/>
      <c r="J271" s="156"/>
      <c r="K271" s="156"/>
      <c r="L271" s="156"/>
      <c r="M271" s="156"/>
      <c r="N271" s="156"/>
      <c r="O271" s="156"/>
      <c r="P271" s="156"/>
      <c r="Q271" s="156"/>
      <c r="R271" s="31"/>
      <c r="S271" s="31">
        <f t="shared" si="89"/>
        <v>11.23</v>
      </c>
      <c r="T271" s="31"/>
      <c r="U271" s="31"/>
      <c r="V271" s="31"/>
      <c r="W271" s="1"/>
    </row>
    <row r="272" spans="1:23" ht="14.4" x14ac:dyDescent="0.25">
      <c r="A272" s="150"/>
      <c r="B272" s="15" t="s">
        <v>263</v>
      </c>
      <c r="C272" s="73">
        <v>5.18</v>
      </c>
      <c r="D272" s="131">
        <v>9.76</v>
      </c>
      <c r="E272" s="33">
        <v>1</v>
      </c>
      <c r="F272" s="29"/>
      <c r="G272" s="30"/>
      <c r="H272" s="30">
        <f t="shared" si="87"/>
        <v>5.18</v>
      </c>
      <c r="I272" s="156"/>
      <c r="J272" s="156"/>
      <c r="K272" s="156"/>
      <c r="L272" s="156"/>
      <c r="M272" s="156"/>
      <c r="N272" s="156"/>
      <c r="O272" s="156"/>
      <c r="P272" s="156"/>
      <c r="Q272" s="156"/>
      <c r="R272" s="31"/>
      <c r="S272" s="31">
        <f t="shared" si="89"/>
        <v>5.18</v>
      </c>
      <c r="T272" s="31"/>
      <c r="U272" s="31">
        <f t="shared" si="90"/>
        <v>9.76</v>
      </c>
      <c r="V272" s="31"/>
      <c r="W272" s="1"/>
    </row>
    <row r="273" spans="1:23" ht="14.4" x14ac:dyDescent="0.25">
      <c r="A273" s="150"/>
      <c r="B273" s="15" t="s">
        <v>264</v>
      </c>
      <c r="C273" s="73">
        <v>16.16</v>
      </c>
      <c r="D273" s="131">
        <f>16.12-2.57</f>
        <v>13.55</v>
      </c>
      <c r="E273" s="33">
        <v>1</v>
      </c>
      <c r="F273" s="29"/>
      <c r="G273" s="30"/>
      <c r="H273" s="30">
        <f t="shared" si="87"/>
        <v>16.16</v>
      </c>
      <c r="I273" s="156"/>
      <c r="J273" s="156"/>
      <c r="K273" s="156"/>
      <c r="L273" s="156"/>
      <c r="M273" s="156"/>
      <c r="N273" s="156"/>
      <c r="O273" s="156"/>
      <c r="P273" s="156"/>
      <c r="Q273" s="156"/>
      <c r="R273" s="31"/>
      <c r="S273" s="31">
        <f t="shared" si="89"/>
        <v>16.16</v>
      </c>
      <c r="T273" s="31"/>
      <c r="U273" s="31"/>
      <c r="V273" s="31"/>
      <c r="W273" s="1"/>
    </row>
    <row r="274" spans="1:23" ht="14.4" x14ac:dyDescent="0.25">
      <c r="A274" s="150"/>
      <c r="B274" s="220" t="s">
        <v>177</v>
      </c>
      <c r="C274" s="222">
        <v>5.62</v>
      </c>
      <c r="D274" s="131">
        <v>10.130000000000001</v>
      </c>
      <c r="E274" s="33">
        <v>1</v>
      </c>
      <c r="F274" s="29"/>
      <c r="G274" s="30"/>
      <c r="H274" s="30">
        <f t="shared" si="87"/>
        <v>5.62</v>
      </c>
      <c r="I274" s="156"/>
      <c r="J274" s="156"/>
      <c r="K274" s="156"/>
      <c r="L274" s="156"/>
      <c r="M274" s="156"/>
      <c r="N274" s="156"/>
      <c r="O274" s="156"/>
      <c r="P274" s="156">
        <f>H274</f>
        <v>5.62</v>
      </c>
      <c r="Q274" s="156"/>
      <c r="R274" s="31"/>
      <c r="S274" s="31"/>
      <c r="T274" s="31"/>
      <c r="U274" s="31"/>
      <c r="V274" s="31"/>
      <c r="W274" s="1"/>
    </row>
    <row r="275" spans="1:23" ht="14.4" x14ac:dyDescent="0.25">
      <c r="A275" s="150"/>
      <c r="B275" s="220" t="s">
        <v>265</v>
      </c>
      <c r="C275" s="222">
        <v>51.55</v>
      </c>
      <c r="D275" s="131">
        <v>31.63</v>
      </c>
      <c r="E275" s="33">
        <v>1</v>
      </c>
      <c r="F275" s="29"/>
      <c r="G275" s="30"/>
      <c r="H275" s="30">
        <f t="shared" si="87"/>
        <v>51.55</v>
      </c>
      <c r="I275" s="156"/>
      <c r="J275" s="156"/>
      <c r="K275" s="156"/>
      <c r="L275" s="156"/>
      <c r="M275" s="156"/>
      <c r="N275" s="156"/>
      <c r="O275" s="156"/>
      <c r="P275" s="156"/>
      <c r="Q275" s="156"/>
      <c r="R275" s="31"/>
      <c r="S275" s="31">
        <f t="shared" si="89"/>
        <v>51.55</v>
      </c>
      <c r="T275" s="31"/>
      <c r="U275" s="31"/>
      <c r="V275" s="31"/>
      <c r="W275" s="1"/>
    </row>
    <row r="276" spans="1:23" ht="14.4" x14ac:dyDescent="0.25">
      <c r="A276" s="150"/>
      <c r="B276" s="15" t="s">
        <v>265</v>
      </c>
      <c r="C276" s="73">
        <v>48.78</v>
      </c>
      <c r="D276" s="131">
        <v>30.49</v>
      </c>
      <c r="E276" s="33">
        <v>1</v>
      </c>
      <c r="F276" s="29"/>
      <c r="G276" s="30"/>
      <c r="H276" s="30">
        <f t="shared" si="87"/>
        <v>48.78</v>
      </c>
      <c r="I276" s="156"/>
      <c r="J276" s="156"/>
      <c r="K276" s="156"/>
      <c r="L276" s="156"/>
      <c r="M276" s="156"/>
      <c r="N276" s="156"/>
      <c r="O276" s="156"/>
      <c r="P276" s="156"/>
      <c r="Q276" s="156"/>
      <c r="R276" s="31"/>
      <c r="S276" s="31">
        <f t="shared" si="89"/>
        <v>48.78</v>
      </c>
      <c r="T276" s="31"/>
      <c r="U276" s="31"/>
      <c r="V276" s="31"/>
      <c r="W276" s="1"/>
    </row>
    <row r="277" spans="1:23" ht="14.4" x14ac:dyDescent="0.25">
      <c r="A277" s="150"/>
      <c r="B277" s="15" t="s">
        <v>229</v>
      </c>
      <c r="C277" s="73">
        <v>2.4900000000000002</v>
      </c>
      <c r="D277" s="131">
        <v>10.97</v>
      </c>
      <c r="E277" s="33">
        <v>1</v>
      </c>
      <c r="F277" s="29"/>
      <c r="G277" s="30"/>
      <c r="H277" s="30"/>
      <c r="I277" s="156"/>
      <c r="J277" s="156"/>
      <c r="K277" s="156"/>
      <c r="L277" s="156"/>
      <c r="M277" s="156"/>
      <c r="N277" s="156"/>
      <c r="O277" s="156"/>
      <c r="P277" s="156"/>
      <c r="Q277" s="156"/>
      <c r="R277" s="31"/>
      <c r="S277" s="31"/>
      <c r="T277" s="31"/>
      <c r="U277" s="31"/>
      <c r="V277" s="31"/>
      <c r="W277" s="1"/>
    </row>
    <row r="278" spans="1:23" ht="14.4" x14ac:dyDescent="0.25">
      <c r="A278" s="150"/>
      <c r="B278" s="220" t="s">
        <v>266</v>
      </c>
      <c r="C278" s="222">
        <v>28.38</v>
      </c>
      <c r="D278" s="131">
        <f>23.18-2</f>
        <v>21.18</v>
      </c>
      <c r="E278" s="33">
        <v>3</v>
      </c>
      <c r="F278" s="29"/>
      <c r="G278" s="30"/>
      <c r="H278" s="30">
        <f t="shared" si="87"/>
        <v>85.14</v>
      </c>
      <c r="I278" s="156"/>
      <c r="J278" s="156"/>
      <c r="K278" s="156"/>
      <c r="L278" s="156"/>
      <c r="M278" s="156"/>
      <c r="N278" s="156"/>
      <c r="O278" s="156"/>
      <c r="P278" s="156"/>
      <c r="Q278" s="156"/>
      <c r="R278" s="31"/>
      <c r="S278" s="31">
        <f t="shared" si="89"/>
        <v>85.14</v>
      </c>
      <c r="T278" s="31"/>
      <c r="U278" s="31"/>
      <c r="V278" s="31"/>
      <c r="W278" s="1"/>
    </row>
    <row r="279" spans="1:23" ht="14.4" x14ac:dyDescent="0.25">
      <c r="A279" s="150"/>
      <c r="B279" s="15" t="s">
        <v>267</v>
      </c>
      <c r="C279" s="73">
        <v>31.07</v>
      </c>
      <c r="D279" s="131">
        <f>24.58-2</f>
        <v>22.58</v>
      </c>
      <c r="E279" s="33">
        <v>5</v>
      </c>
      <c r="F279" s="29"/>
      <c r="G279" s="30"/>
      <c r="H279" s="30">
        <f t="shared" si="87"/>
        <v>155.35</v>
      </c>
      <c r="I279" s="156"/>
      <c r="J279" s="156"/>
      <c r="K279" s="156"/>
      <c r="L279" s="156"/>
      <c r="M279" s="156"/>
      <c r="N279" s="156"/>
      <c r="O279" s="156"/>
      <c r="P279" s="156"/>
      <c r="Q279" s="156"/>
      <c r="R279" s="31"/>
      <c r="S279" s="31">
        <f t="shared" si="89"/>
        <v>155.35</v>
      </c>
      <c r="T279" s="31"/>
      <c r="U279" s="31"/>
      <c r="V279" s="31"/>
      <c r="W279" s="1"/>
    </row>
    <row r="280" spans="1:23" ht="14.4" x14ac:dyDescent="0.25">
      <c r="A280" s="150"/>
      <c r="B280" s="15" t="s">
        <v>260</v>
      </c>
      <c r="C280" s="73">
        <v>4.46</v>
      </c>
      <c r="D280" s="131">
        <v>8.6999999999999993</v>
      </c>
      <c r="E280" s="33">
        <v>5</v>
      </c>
      <c r="F280" s="29"/>
      <c r="G280" s="30"/>
      <c r="H280" s="30">
        <f t="shared" si="87"/>
        <v>22.3</v>
      </c>
      <c r="I280" s="156"/>
      <c r="J280" s="156"/>
      <c r="K280" s="156"/>
      <c r="L280" s="156"/>
      <c r="M280" s="156"/>
      <c r="N280" s="156"/>
      <c r="O280" s="156"/>
      <c r="P280" s="156"/>
      <c r="Q280" s="156"/>
      <c r="R280" s="31">
        <f>H280</f>
        <v>22.3</v>
      </c>
      <c r="S280" s="31"/>
      <c r="T280" s="31"/>
      <c r="U280" s="31"/>
      <c r="V280" s="31">
        <f t="shared" ref="V280:V282" si="93">D280*E280</f>
        <v>43.5</v>
      </c>
      <c r="W280" s="1"/>
    </row>
    <row r="281" spans="1:23" ht="14.4" x14ac:dyDescent="0.25">
      <c r="A281" s="150"/>
      <c r="B281" s="15" t="s">
        <v>260</v>
      </c>
      <c r="C281" s="73">
        <v>4.32</v>
      </c>
      <c r="D281" s="131">
        <v>8.6</v>
      </c>
      <c r="E281" s="33">
        <v>2</v>
      </c>
      <c r="F281" s="29"/>
      <c r="G281" s="30"/>
      <c r="H281" s="30">
        <f t="shared" si="87"/>
        <v>8.64</v>
      </c>
      <c r="I281" s="156"/>
      <c r="J281" s="156"/>
      <c r="K281" s="156"/>
      <c r="L281" s="156"/>
      <c r="M281" s="156"/>
      <c r="N281" s="156"/>
      <c r="O281" s="156"/>
      <c r="P281" s="156"/>
      <c r="Q281" s="156"/>
      <c r="R281" s="31">
        <f t="shared" ref="R281:R282" si="94">H281</f>
        <v>8.64</v>
      </c>
      <c r="S281" s="31"/>
      <c r="T281" s="31"/>
      <c r="U281" s="31"/>
      <c r="V281" s="31">
        <f t="shared" si="93"/>
        <v>17.2</v>
      </c>
      <c r="W281" s="1"/>
    </row>
    <row r="282" spans="1:23" ht="14.4" x14ac:dyDescent="0.25">
      <c r="A282" s="150"/>
      <c r="B282" s="15" t="s">
        <v>260</v>
      </c>
      <c r="C282" s="73">
        <v>4.59</v>
      </c>
      <c r="D282" s="131">
        <v>8.8000000000000007</v>
      </c>
      <c r="E282" s="33">
        <v>3</v>
      </c>
      <c r="F282" s="29"/>
      <c r="G282" s="30"/>
      <c r="H282" s="30">
        <f t="shared" si="87"/>
        <v>13.77</v>
      </c>
      <c r="I282" s="156"/>
      <c r="J282" s="156"/>
      <c r="K282" s="156"/>
      <c r="L282" s="156"/>
      <c r="M282" s="156"/>
      <c r="N282" s="156"/>
      <c r="O282" s="156"/>
      <c r="P282" s="156"/>
      <c r="Q282" s="156"/>
      <c r="R282" s="31">
        <f t="shared" si="94"/>
        <v>13.77</v>
      </c>
      <c r="S282" s="31"/>
      <c r="T282" s="31"/>
      <c r="U282" s="31"/>
      <c r="V282" s="31">
        <f t="shared" si="93"/>
        <v>26.400000000000002</v>
      </c>
      <c r="W282" s="1"/>
    </row>
    <row r="283" spans="1:23" ht="14.4" x14ac:dyDescent="0.25">
      <c r="A283" s="150"/>
      <c r="B283" s="15" t="s">
        <v>268</v>
      </c>
      <c r="C283" s="73">
        <v>5.52</v>
      </c>
      <c r="D283" s="131">
        <f>9.46-2</f>
        <v>7.4600000000000009</v>
      </c>
      <c r="E283" s="33">
        <v>3</v>
      </c>
      <c r="F283" s="29"/>
      <c r="G283" s="30"/>
      <c r="H283" s="30">
        <f t="shared" si="87"/>
        <v>16.559999999999999</v>
      </c>
      <c r="I283" s="156"/>
      <c r="J283" s="156"/>
      <c r="K283" s="156"/>
      <c r="L283" s="156"/>
      <c r="M283" s="156"/>
      <c r="N283" s="156"/>
      <c r="O283" s="156"/>
      <c r="P283" s="156"/>
      <c r="Q283" s="156"/>
      <c r="R283" s="31"/>
      <c r="S283" s="31">
        <f t="shared" si="89"/>
        <v>16.559999999999999</v>
      </c>
      <c r="T283" s="31"/>
      <c r="U283" s="31"/>
      <c r="V283" s="31"/>
      <c r="W283" s="1"/>
    </row>
    <row r="284" spans="1:23" ht="14.4" x14ac:dyDescent="0.25">
      <c r="A284" s="150"/>
      <c r="B284" s="15" t="s">
        <v>268</v>
      </c>
      <c r="C284" s="73">
        <v>5.17</v>
      </c>
      <c r="D284" s="131">
        <f>9.45-2</f>
        <v>7.4499999999999993</v>
      </c>
      <c r="E284" s="33">
        <v>5</v>
      </c>
      <c r="F284" s="29"/>
      <c r="G284" s="30"/>
      <c r="H284" s="30">
        <f t="shared" si="87"/>
        <v>25.85</v>
      </c>
      <c r="I284" s="156"/>
      <c r="J284" s="156"/>
      <c r="K284" s="156"/>
      <c r="L284" s="156"/>
      <c r="M284" s="156"/>
      <c r="N284" s="156"/>
      <c r="O284" s="156"/>
      <c r="P284" s="156"/>
      <c r="Q284" s="156"/>
      <c r="R284" s="31"/>
      <c r="S284" s="31">
        <f t="shared" si="89"/>
        <v>25.85</v>
      </c>
      <c r="T284" s="31"/>
      <c r="U284" s="31"/>
      <c r="V284" s="31"/>
      <c r="W284" s="1"/>
    </row>
    <row r="285" spans="1:23" ht="15" thickBot="1" x14ac:dyDescent="0.3">
      <c r="A285" s="150"/>
      <c r="B285" s="279" t="s">
        <v>269</v>
      </c>
      <c r="C285" s="344">
        <v>2.84</v>
      </c>
      <c r="D285" s="328">
        <v>7.07</v>
      </c>
      <c r="E285" s="330">
        <v>1</v>
      </c>
      <c r="F285" s="330"/>
      <c r="G285" s="345"/>
      <c r="H285" s="345">
        <f t="shared" si="87"/>
        <v>2.84</v>
      </c>
      <c r="I285" s="346"/>
      <c r="J285" s="346"/>
      <c r="K285" s="346"/>
      <c r="L285" s="346"/>
      <c r="M285" s="346"/>
      <c r="N285" s="346"/>
      <c r="O285" s="346"/>
      <c r="P285" s="346"/>
      <c r="Q285" s="346"/>
      <c r="R285" s="347"/>
      <c r="S285" s="347">
        <f t="shared" si="89"/>
        <v>2.84</v>
      </c>
      <c r="T285" s="347"/>
      <c r="U285" s="347">
        <f t="shared" si="90"/>
        <v>7.07</v>
      </c>
      <c r="V285" s="348"/>
      <c r="W285" s="1"/>
    </row>
    <row r="286" spans="1:23" ht="14.4" x14ac:dyDescent="0.25">
      <c r="A286" s="150"/>
      <c r="B286" s="320" t="s">
        <v>374</v>
      </c>
      <c r="C286" s="351">
        <v>24.19</v>
      </c>
      <c r="D286" s="322">
        <v>31.57</v>
      </c>
      <c r="E286" s="29">
        <v>1</v>
      </c>
      <c r="F286" s="29"/>
      <c r="G286" s="30"/>
      <c r="H286" s="30">
        <f t="shared" si="87"/>
        <v>24.19</v>
      </c>
      <c r="I286" s="30"/>
      <c r="J286" s="30"/>
      <c r="K286" s="30"/>
      <c r="L286" s="30"/>
      <c r="M286" s="30"/>
      <c r="N286" s="30"/>
      <c r="O286" s="30"/>
      <c r="P286" s="268">
        <f>H286</f>
        <v>24.19</v>
      </c>
      <c r="Q286" s="30"/>
      <c r="R286" s="74"/>
      <c r="S286" s="74"/>
      <c r="T286" s="74"/>
      <c r="U286" s="74"/>
      <c r="V286" s="74"/>
      <c r="W286" s="1"/>
    </row>
    <row r="287" spans="1:23" ht="14.4" x14ac:dyDescent="0.25">
      <c r="B287" s="157" t="s">
        <v>374</v>
      </c>
      <c r="C287" s="73">
        <v>6.53</v>
      </c>
      <c r="D287" s="322"/>
      <c r="E287" s="29">
        <v>1</v>
      </c>
      <c r="F287" s="29"/>
      <c r="G287" s="30"/>
      <c r="H287" s="30">
        <f t="shared" si="87"/>
        <v>6.53</v>
      </c>
      <c r="I287" s="30"/>
      <c r="J287" s="30"/>
      <c r="K287" s="30"/>
      <c r="L287" s="30"/>
      <c r="M287" s="30"/>
      <c r="N287" s="30"/>
      <c r="O287" s="30"/>
      <c r="P287" s="268">
        <f>H287</f>
        <v>6.53</v>
      </c>
      <c r="Q287" s="30"/>
      <c r="R287" s="74"/>
      <c r="S287" s="74"/>
      <c r="T287" s="74"/>
      <c r="U287" s="74"/>
      <c r="V287" s="74"/>
      <c r="W287" s="1"/>
    </row>
    <row r="288" spans="1:23" ht="14.4" x14ac:dyDescent="0.25">
      <c r="A288" s="150"/>
      <c r="B288" s="262" t="s">
        <v>177</v>
      </c>
      <c r="C288" s="73">
        <v>7</v>
      </c>
      <c r="D288" s="131">
        <v>11</v>
      </c>
      <c r="E288" s="29">
        <v>1</v>
      </c>
      <c r="F288" s="33"/>
      <c r="G288" s="268"/>
      <c r="H288" s="30">
        <f t="shared" si="87"/>
        <v>7</v>
      </c>
      <c r="I288" s="30"/>
      <c r="J288" s="30"/>
      <c r="K288" s="30"/>
      <c r="L288" s="30"/>
      <c r="M288" s="30"/>
      <c r="N288" s="30"/>
      <c r="O288" s="268"/>
      <c r="P288" s="156">
        <f>H288</f>
        <v>7</v>
      </c>
      <c r="Q288" s="268"/>
      <c r="R288" s="32"/>
      <c r="S288" s="32"/>
      <c r="T288" s="32"/>
      <c r="U288" s="32"/>
      <c r="V288" s="32"/>
      <c r="W288" s="1"/>
    </row>
    <row r="289" spans="1:23" ht="14.4" x14ac:dyDescent="0.25">
      <c r="A289" s="150"/>
      <c r="B289" s="317" t="s">
        <v>375</v>
      </c>
      <c r="C289" s="222">
        <v>100.1</v>
      </c>
      <c r="D289" s="131">
        <f>50.13-1.5</f>
        <v>48.63</v>
      </c>
      <c r="E289" s="29">
        <v>1</v>
      </c>
      <c r="F289" s="33"/>
      <c r="G289" s="268"/>
      <c r="H289" s="30">
        <f t="shared" si="87"/>
        <v>100.1</v>
      </c>
      <c r="I289" s="30"/>
      <c r="J289" s="30"/>
      <c r="K289" s="30"/>
      <c r="L289" s="30"/>
      <c r="M289" s="30"/>
      <c r="N289" s="30"/>
      <c r="O289" s="268"/>
      <c r="P289" s="156">
        <f>H289</f>
        <v>100.1</v>
      </c>
      <c r="Q289" s="268"/>
      <c r="R289" s="32"/>
      <c r="S289" s="32"/>
      <c r="T289" s="32"/>
      <c r="U289" s="32"/>
      <c r="V289" s="32"/>
      <c r="W289" s="1"/>
    </row>
    <row r="290" spans="1:23" ht="14.4" x14ac:dyDescent="0.25">
      <c r="A290" s="150"/>
      <c r="B290" s="260" t="s">
        <v>168</v>
      </c>
      <c r="C290" s="73">
        <v>7.95</v>
      </c>
      <c r="D290" s="131">
        <f>13.6-1.5</f>
        <v>12.1</v>
      </c>
      <c r="E290" s="29">
        <v>1</v>
      </c>
      <c r="F290" s="33"/>
      <c r="G290" s="268"/>
      <c r="H290" s="30">
        <f t="shared" si="87"/>
        <v>7.95</v>
      </c>
      <c r="I290" s="30"/>
      <c r="J290" s="30"/>
      <c r="K290" s="30"/>
      <c r="L290" s="30"/>
      <c r="M290" s="30"/>
      <c r="N290" s="30"/>
      <c r="O290" s="268"/>
      <c r="P290" s="156">
        <f t="shared" ref="P290:P292" si="95">H290</f>
        <v>7.95</v>
      </c>
      <c r="Q290" s="268"/>
      <c r="R290" s="32"/>
      <c r="S290" s="31"/>
      <c r="T290" s="31"/>
      <c r="U290" s="31"/>
      <c r="V290" s="32"/>
      <c r="W290" s="1"/>
    </row>
    <row r="291" spans="1:23" ht="14.4" x14ac:dyDescent="0.25">
      <c r="A291" s="150"/>
      <c r="B291" s="260" t="s">
        <v>376</v>
      </c>
      <c r="C291" s="73">
        <v>143.94999999999999</v>
      </c>
      <c r="D291" s="131">
        <v>103.67</v>
      </c>
      <c r="E291" s="29">
        <v>1</v>
      </c>
      <c r="F291" s="33"/>
      <c r="G291" s="268"/>
      <c r="H291" s="30">
        <f t="shared" si="87"/>
        <v>143.94999999999999</v>
      </c>
      <c r="I291" s="30"/>
      <c r="J291" s="30"/>
      <c r="K291" s="30"/>
      <c r="L291" s="30"/>
      <c r="M291" s="30"/>
      <c r="N291" s="30"/>
      <c r="O291" s="268"/>
      <c r="P291" s="156">
        <f t="shared" si="95"/>
        <v>143.94999999999999</v>
      </c>
      <c r="Q291" s="268"/>
      <c r="R291" s="32"/>
      <c r="S291" s="32"/>
      <c r="T291" s="32"/>
      <c r="U291" s="32"/>
      <c r="V291" s="32"/>
      <c r="W291" s="1"/>
    </row>
    <row r="292" spans="1:23" ht="14.4" x14ac:dyDescent="0.25">
      <c r="A292" s="150"/>
      <c r="B292" s="317" t="s">
        <v>377</v>
      </c>
      <c r="C292" s="222">
        <v>35</v>
      </c>
      <c r="D292" s="131">
        <v>24.5</v>
      </c>
      <c r="E292" s="29">
        <v>1</v>
      </c>
      <c r="F292" s="33"/>
      <c r="G292" s="268"/>
      <c r="H292" s="30">
        <f t="shared" si="87"/>
        <v>35</v>
      </c>
      <c r="I292" s="30"/>
      <c r="J292" s="30"/>
      <c r="K292" s="30"/>
      <c r="L292" s="30"/>
      <c r="M292" s="30"/>
      <c r="N292" s="30"/>
      <c r="O292" s="268"/>
      <c r="P292" s="156">
        <f t="shared" si="95"/>
        <v>35</v>
      </c>
      <c r="Q292" s="268"/>
      <c r="R292" s="32"/>
      <c r="S292" s="32"/>
      <c r="T292" s="32"/>
      <c r="U292" s="32"/>
      <c r="V292" s="32"/>
      <c r="W292" s="1"/>
    </row>
    <row r="293" spans="1:23" ht="14.4" x14ac:dyDescent="0.25">
      <c r="A293" s="150"/>
      <c r="B293" s="317" t="s">
        <v>378</v>
      </c>
      <c r="C293" s="222">
        <v>21.77</v>
      </c>
      <c r="D293" s="131">
        <f>18.72-9.35</f>
        <v>9.3699999999999992</v>
      </c>
      <c r="E293" s="29">
        <v>1</v>
      </c>
      <c r="F293" s="33"/>
      <c r="G293" s="268"/>
      <c r="H293" s="30">
        <f t="shared" si="87"/>
        <v>21.77</v>
      </c>
      <c r="I293" s="30"/>
      <c r="J293" s="30"/>
      <c r="K293" s="30"/>
      <c r="L293" s="30"/>
      <c r="M293" s="30"/>
      <c r="N293" s="30"/>
      <c r="O293" s="268"/>
      <c r="P293" s="268"/>
      <c r="Q293" s="268"/>
      <c r="R293" s="32"/>
      <c r="S293" s="32">
        <f>H293</f>
        <v>21.77</v>
      </c>
      <c r="T293" s="32"/>
      <c r="U293" s="31">
        <f t="shared" ref="U293:U294" si="96">D293*E293</f>
        <v>9.3699999999999992</v>
      </c>
      <c r="V293" s="32"/>
      <c r="W293" s="1"/>
    </row>
    <row r="294" spans="1:23" ht="14.4" x14ac:dyDescent="0.25">
      <c r="A294" s="150"/>
      <c r="B294" s="260" t="s">
        <v>379</v>
      </c>
      <c r="C294" s="73">
        <v>63</v>
      </c>
      <c r="D294" s="131">
        <f>36.03-8.53</f>
        <v>27.5</v>
      </c>
      <c r="E294" s="29">
        <v>1</v>
      </c>
      <c r="F294" s="33"/>
      <c r="G294" s="268"/>
      <c r="H294" s="30">
        <f t="shared" si="87"/>
        <v>63</v>
      </c>
      <c r="I294" s="30"/>
      <c r="J294" s="30"/>
      <c r="K294" s="30"/>
      <c r="L294" s="30"/>
      <c r="M294" s="30"/>
      <c r="N294" s="30"/>
      <c r="O294" s="268"/>
      <c r="P294" s="268"/>
      <c r="Q294" s="268"/>
      <c r="R294" s="32"/>
      <c r="S294" s="32">
        <f>H294</f>
        <v>63</v>
      </c>
      <c r="T294" s="32"/>
      <c r="U294" s="31">
        <f t="shared" si="96"/>
        <v>27.5</v>
      </c>
      <c r="V294" s="32"/>
      <c r="W294" s="1"/>
    </row>
    <row r="295" spans="1:23" ht="19.95" customHeight="1" x14ac:dyDescent="0.25">
      <c r="B295" s="128" t="s">
        <v>22</v>
      </c>
      <c r="C295" s="129">
        <f>SUM(C233:C294)</f>
        <v>1058.1400000000003</v>
      </c>
      <c r="D295" s="129"/>
      <c r="E295" s="129"/>
      <c r="F295" s="129"/>
      <c r="G295" s="129">
        <f t="shared" ref="G295:V295" si="97">SUM(G233:G294)</f>
        <v>0</v>
      </c>
      <c r="H295" s="129">
        <f t="shared" si="97"/>
        <v>1275.5900000000001</v>
      </c>
      <c r="I295" s="129">
        <f t="shared" si="97"/>
        <v>0</v>
      </c>
      <c r="J295" s="129">
        <f t="shared" si="97"/>
        <v>0</v>
      </c>
      <c r="K295" s="129">
        <f t="shared" si="97"/>
        <v>0</v>
      </c>
      <c r="L295" s="129">
        <f t="shared" si="97"/>
        <v>0</v>
      </c>
      <c r="M295" s="129">
        <f t="shared" si="97"/>
        <v>0</v>
      </c>
      <c r="N295" s="129">
        <f t="shared" si="97"/>
        <v>0</v>
      </c>
      <c r="O295" s="129">
        <f t="shared" si="97"/>
        <v>0</v>
      </c>
      <c r="P295" s="129">
        <f t="shared" si="97"/>
        <v>383.16999999999996</v>
      </c>
      <c r="Q295" s="129">
        <f t="shared" si="97"/>
        <v>9.16</v>
      </c>
      <c r="R295" s="129">
        <f t="shared" si="97"/>
        <v>67.010000000000005</v>
      </c>
      <c r="S295" s="129">
        <f t="shared" si="97"/>
        <v>816.25</v>
      </c>
      <c r="T295" s="129">
        <f t="shared" si="97"/>
        <v>0</v>
      </c>
      <c r="U295" s="129">
        <f t="shared" si="97"/>
        <v>212.91999999999996</v>
      </c>
      <c r="V295" s="129">
        <f t="shared" si="97"/>
        <v>137.34</v>
      </c>
      <c r="W295" s="1"/>
    </row>
    <row r="296" spans="1:23" ht="19.95" customHeight="1" x14ac:dyDescent="0.25">
      <c r="B296" s="267"/>
      <c r="C296" s="265"/>
      <c r="D296" s="266"/>
      <c r="E296" s="129"/>
      <c r="F296" s="129"/>
      <c r="G296" s="129"/>
      <c r="H296" s="129"/>
      <c r="I296" s="141">
        <v>7</v>
      </c>
      <c r="J296" s="141">
        <v>8</v>
      </c>
      <c r="K296" s="141">
        <v>9</v>
      </c>
      <c r="L296" s="141">
        <v>12</v>
      </c>
      <c r="M296" s="141">
        <v>13</v>
      </c>
      <c r="N296" s="141">
        <v>14</v>
      </c>
      <c r="O296" s="224">
        <v>5</v>
      </c>
      <c r="P296" s="224">
        <v>4</v>
      </c>
      <c r="Q296" s="224">
        <v>2</v>
      </c>
      <c r="R296" s="224">
        <v>3</v>
      </c>
      <c r="S296" s="224">
        <v>1</v>
      </c>
      <c r="T296" s="224">
        <v>5</v>
      </c>
      <c r="U296" s="224">
        <v>1</v>
      </c>
      <c r="V296" s="224">
        <v>3</v>
      </c>
      <c r="W296" s="1"/>
    </row>
    <row r="297" spans="1:23" ht="49.95" customHeight="1" x14ac:dyDescent="0.25">
      <c r="B297" s="852" t="s">
        <v>16</v>
      </c>
      <c r="C297" s="838" t="s">
        <v>17</v>
      </c>
      <c r="D297" s="839" t="s">
        <v>18</v>
      </c>
      <c r="E297" s="842" t="s">
        <v>19</v>
      </c>
      <c r="F297" s="842" t="s">
        <v>13</v>
      </c>
      <c r="G297" s="842" t="s">
        <v>20</v>
      </c>
      <c r="H297" s="842" t="s">
        <v>21</v>
      </c>
      <c r="I297" s="855" t="s">
        <v>866</v>
      </c>
      <c r="J297" s="846" t="s">
        <v>867</v>
      </c>
      <c r="K297" s="855" t="s">
        <v>865</v>
      </c>
      <c r="L297" s="846" t="s">
        <v>868</v>
      </c>
      <c r="M297" s="846" t="s">
        <v>869</v>
      </c>
      <c r="N297" s="846" t="s">
        <v>870</v>
      </c>
      <c r="O297" s="838" t="s">
        <v>81</v>
      </c>
      <c r="P297" s="838" t="s">
        <v>80</v>
      </c>
      <c r="Q297" s="838" t="s">
        <v>70</v>
      </c>
      <c r="R297" s="838" t="s">
        <v>79</v>
      </c>
      <c r="S297" s="838" t="s">
        <v>78</v>
      </c>
      <c r="T297" s="848" t="s">
        <v>75</v>
      </c>
      <c r="U297" s="848" t="s">
        <v>71</v>
      </c>
      <c r="V297" s="850" t="s">
        <v>74</v>
      </c>
      <c r="W297" s="1"/>
    </row>
    <row r="298" spans="1:23" ht="49.95" customHeight="1" x14ac:dyDescent="0.25">
      <c r="B298" s="843"/>
      <c r="C298" s="842"/>
      <c r="D298" s="838"/>
      <c r="E298" s="842"/>
      <c r="F298" s="842"/>
      <c r="G298" s="842"/>
      <c r="H298" s="842"/>
      <c r="I298" s="856"/>
      <c r="J298" s="847"/>
      <c r="K298" s="856"/>
      <c r="L298" s="847"/>
      <c r="M298" s="847"/>
      <c r="N298" s="847"/>
      <c r="O298" s="839"/>
      <c r="P298" s="839"/>
      <c r="Q298" s="839"/>
      <c r="R298" s="839"/>
      <c r="S298" s="839"/>
      <c r="T298" s="849"/>
      <c r="U298" s="849"/>
      <c r="V298" s="851"/>
      <c r="W298" s="1"/>
    </row>
    <row r="299" spans="1:23" ht="15.6" x14ac:dyDescent="0.25">
      <c r="A299" s="141" t="s">
        <v>66</v>
      </c>
      <c r="B299" s="59" t="s">
        <v>61</v>
      </c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1"/>
    </row>
    <row r="300" spans="1:23" ht="14.4" x14ac:dyDescent="0.25">
      <c r="A300" s="150"/>
      <c r="B300" s="15" t="s">
        <v>205</v>
      </c>
      <c r="C300" s="73">
        <v>19.13</v>
      </c>
      <c r="D300" s="131">
        <v>17.95</v>
      </c>
      <c r="E300" s="33">
        <v>1</v>
      </c>
      <c r="F300" s="29"/>
      <c r="G300" s="30"/>
      <c r="H300" s="30">
        <f t="shared" ref="H300:H358" si="98">C300*E300</f>
        <v>19.13</v>
      </c>
      <c r="I300" s="156"/>
      <c r="J300" s="156"/>
      <c r="K300" s="156"/>
      <c r="L300" s="156"/>
      <c r="M300" s="156"/>
      <c r="N300" s="156"/>
      <c r="O300" s="156"/>
      <c r="P300" s="156"/>
      <c r="Q300" s="156"/>
      <c r="R300" s="31"/>
      <c r="S300" s="31">
        <f>H300</f>
        <v>19.13</v>
      </c>
      <c r="T300" s="31"/>
      <c r="U300" s="31">
        <f>D300*E300</f>
        <v>17.95</v>
      </c>
      <c r="V300" s="31"/>
      <c r="W300" s="1"/>
    </row>
    <row r="301" spans="1:23" ht="14.4" x14ac:dyDescent="0.25">
      <c r="A301" s="150"/>
      <c r="B301" s="15" t="s">
        <v>229</v>
      </c>
      <c r="C301" s="73">
        <v>0.45</v>
      </c>
      <c r="D301" s="131">
        <v>3.86</v>
      </c>
      <c r="E301" s="33">
        <v>1</v>
      </c>
      <c r="F301" s="29"/>
      <c r="G301" s="30"/>
      <c r="H301" s="30"/>
      <c r="I301" s="156"/>
      <c r="J301" s="156"/>
      <c r="K301" s="156"/>
      <c r="L301" s="156"/>
      <c r="M301" s="156"/>
      <c r="N301" s="156"/>
      <c r="O301" s="156"/>
      <c r="P301" s="156"/>
      <c r="Q301" s="156"/>
      <c r="R301" s="31"/>
      <c r="S301" s="31"/>
      <c r="T301" s="31"/>
      <c r="U301" s="31"/>
      <c r="V301" s="31"/>
      <c r="W301" s="1"/>
    </row>
    <row r="302" spans="1:23" ht="14.4" x14ac:dyDescent="0.25">
      <c r="A302" s="150"/>
      <c r="B302" s="220" t="s">
        <v>168</v>
      </c>
      <c r="C302" s="222">
        <v>23.89</v>
      </c>
      <c r="D302" s="131">
        <v>25.87</v>
      </c>
      <c r="E302" s="33">
        <v>1</v>
      </c>
      <c r="F302" s="29"/>
      <c r="G302" s="30"/>
      <c r="H302" s="30">
        <f t="shared" si="98"/>
        <v>23.89</v>
      </c>
      <c r="I302" s="156"/>
      <c r="J302" s="156"/>
      <c r="K302" s="156"/>
      <c r="L302" s="156"/>
      <c r="M302" s="156"/>
      <c r="N302" s="156"/>
      <c r="O302" s="156"/>
      <c r="P302" s="156"/>
      <c r="Q302" s="156"/>
      <c r="R302" s="31"/>
      <c r="S302" s="31">
        <f>H302</f>
        <v>23.89</v>
      </c>
      <c r="T302" s="31"/>
      <c r="U302" s="31"/>
      <c r="V302" s="31"/>
      <c r="W302" s="1"/>
    </row>
    <row r="303" spans="1:23" ht="14.4" x14ac:dyDescent="0.25">
      <c r="A303" s="150"/>
      <c r="B303" s="15" t="s">
        <v>229</v>
      </c>
      <c r="C303" s="73">
        <v>3.03</v>
      </c>
      <c r="D303" s="131">
        <v>8.51</v>
      </c>
      <c r="E303" s="33">
        <v>1</v>
      </c>
      <c r="F303" s="29"/>
      <c r="G303" s="30"/>
      <c r="H303" s="30"/>
      <c r="I303" s="156"/>
      <c r="J303" s="156"/>
      <c r="K303" s="156"/>
      <c r="L303" s="156"/>
      <c r="M303" s="156"/>
      <c r="N303" s="156"/>
      <c r="O303" s="156"/>
      <c r="P303" s="156"/>
      <c r="Q303" s="156"/>
      <c r="R303" s="31"/>
      <c r="S303" s="31"/>
      <c r="T303" s="31"/>
      <c r="U303" s="31"/>
      <c r="V303" s="31"/>
      <c r="W303" s="1"/>
    </row>
    <row r="304" spans="1:23" ht="14.4" x14ac:dyDescent="0.25">
      <c r="A304" s="150"/>
      <c r="B304" s="15" t="s">
        <v>229</v>
      </c>
      <c r="C304" s="73">
        <v>1.1000000000000001</v>
      </c>
      <c r="D304" s="131">
        <v>7.44</v>
      </c>
      <c r="E304" s="33">
        <v>1</v>
      </c>
      <c r="F304" s="29"/>
      <c r="G304" s="30"/>
      <c r="H304" s="30"/>
      <c r="I304" s="156"/>
      <c r="J304" s="156"/>
      <c r="K304" s="156"/>
      <c r="L304" s="156"/>
      <c r="M304" s="156"/>
      <c r="N304" s="156"/>
      <c r="O304" s="156"/>
      <c r="P304" s="156"/>
      <c r="Q304" s="156"/>
      <c r="R304" s="31"/>
      <c r="S304" s="31"/>
      <c r="T304" s="31"/>
      <c r="U304" s="31"/>
      <c r="V304" s="31"/>
      <c r="W304" s="1"/>
    </row>
    <row r="305" spans="1:23" ht="14.4" x14ac:dyDescent="0.25">
      <c r="A305" s="150"/>
      <c r="B305" s="15" t="s">
        <v>258</v>
      </c>
      <c r="C305" s="73">
        <v>6.8</v>
      </c>
      <c r="D305" s="131">
        <v>10.79</v>
      </c>
      <c r="E305" s="147">
        <v>1</v>
      </c>
      <c r="F305" s="29"/>
      <c r="G305" s="30"/>
      <c r="H305" s="30">
        <f t="shared" si="98"/>
        <v>6.8</v>
      </c>
      <c r="I305" s="156"/>
      <c r="J305" s="156"/>
      <c r="K305" s="156"/>
      <c r="L305" s="156"/>
      <c r="M305" s="156"/>
      <c r="N305" s="156"/>
      <c r="O305" s="156"/>
      <c r="P305" s="156"/>
      <c r="Q305" s="156"/>
      <c r="R305" s="31"/>
      <c r="S305" s="31">
        <f>H305</f>
        <v>6.8</v>
      </c>
      <c r="T305" s="31"/>
      <c r="U305" s="31"/>
      <c r="V305" s="31"/>
      <c r="W305" s="1"/>
    </row>
    <row r="306" spans="1:23" ht="14.4" x14ac:dyDescent="0.25">
      <c r="A306" s="150"/>
      <c r="B306" s="15" t="s">
        <v>270</v>
      </c>
      <c r="C306" s="73">
        <v>5.08</v>
      </c>
      <c r="D306" s="131">
        <v>6.5400000000000009</v>
      </c>
      <c r="E306" s="33">
        <v>1</v>
      </c>
      <c r="F306" s="29"/>
      <c r="G306" s="30"/>
      <c r="H306" s="30">
        <f t="shared" si="98"/>
        <v>5.08</v>
      </c>
      <c r="I306" s="156"/>
      <c r="J306" s="156"/>
      <c r="K306" s="156"/>
      <c r="L306" s="156"/>
      <c r="M306" s="156"/>
      <c r="N306" s="156"/>
      <c r="O306" s="156"/>
      <c r="P306" s="156"/>
      <c r="Q306" s="156"/>
      <c r="R306" s="31"/>
      <c r="S306" s="31">
        <f t="shared" ref="S306:S354" si="99">H306</f>
        <v>5.08</v>
      </c>
      <c r="T306" s="31"/>
      <c r="U306" s="31">
        <f t="shared" ref="U306:U354" si="100">D306*E306</f>
        <v>6.5400000000000009</v>
      </c>
      <c r="V306" s="31"/>
      <c r="W306" s="1"/>
    </row>
    <row r="307" spans="1:23" ht="14.4" x14ac:dyDescent="0.25">
      <c r="A307" s="150"/>
      <c r="B307" s="15" t="s">
        <v>247</v>
      </c>
      <c r="C307" s="73">
        <v>3.4</v>
      </c>
      <c r="D307" s="131">
        <v>5.2200000000000006</v>
      </c>
      <c r="E307" s="33">
        <v>1</v>
      </c>
      <c r="F307" s="29"/>
      <c r="G307" s="30"/>
      <c r="H307" s="30">
        <f t="shared" si="98"/>
        <v>3.4</v>
      </c>
      <c r="I307" s="156"/>
      <c r="J307" s="156"/>
      <c r="K307" s="156"/>
      <c r="L307" s="156"/>
      <c r="M307" s="156"/>
      <c r="N307" s="156"/>
      <c r="O307" s="156"/>
      <c r="P307" s="156"/>
      <c r="Q307" s="156"/>
      <c r="R307" s="31"/>
      <c r="S307" s="31">
        <f t="shared" si="99"/>
        <v>3.4</v>
      </c>
      <c r="T307" s="31"/>
      <c r="U307" s="31">
        <f t="shared" si="100"/>
        <v>5.2200000000000006</v>
      </c>
      <c r="V307" s="31"/>
      <c r="W307" s="1"/>
    </row>
    <row r="308" spans="1:23" ht="14.4" x14ac:dyDescent="0.25">
      <c r="A308" s="150"/>
      <c r="B308" s="15" t="s">
        <v>213</v>
      </c>
      <c r="C308" s="73">
        <v>3.69</v>
      </c>
      <c r="D308" s="131">
        <v>8.27</v>
      </c>
      <c r="E308" s="33">
        <v>1</v>
      </c>
      <c r="F308" s="29"/>
      <c r="G308" s="30"/>
      <c r="H308" s="30">
        <f t="shared" si="98"/>
        <v>3.69</v>
      </c>
      <c r="I308" s="156"/>
      <c r="J308" s="156"/>
      <c r="K308" s="156"/>
      <c r="L308" s="156"/>
      <c r="M308" s="156"/>
      <c r="N308" s="156"/>
      <c r="O308" s="156"/>
      <c r="P308" s="156"/>
      <c r="Q308" s="156"/>
      <c r="R308" s="31">
        <f>H308</f>
        <v>3.69</v>
      </c>
      <c r="S308" s="31"/>
      <c r="T308" s="31"/>
      <c r="U308" s="31"/>
      <c r="V308" s="31">
        <f>D308*E308</f>
        <v>8.27</v>
      </c>
      <c r="W308" s="1"/>
    </row>
    <row r="309" spans="1:23" ht="14.4" x14ac:dyDescent="0.25">
      <c r="A309" s="150"/>
      <c r="B309" s="15" t="s">
        <v>271</v>
      </c>
      <c r="C309" s="73">
        <v>10.56</v>
      </c>
      <c r="D309" s="131">
        <v>15.34</v>
      </c>
      <c r="E309" s="33">
        <v>1</v>
      </c>
      <c r="F309" s="29"/>
      <c r="G309" s="30"/>
      <c r="H309" s="30">
        <f t="shared" si="98"/>
        <v>10.56</v>
      </c>
      <c r="I309" s="156"/>
      <c r="J309" s="156"/>
      <c r="K309" s="156"/>
      <c r="L309" s="156"/>
      <c r="M309" s="156"/>
      <c r="N309" s="156"/>
      <c r="O309" s="156"/>
      <c r="P309" s="156"/>
      <c r="Q309" s="156"/>
      <c r="R309" s="31"/>
      <c r="S309" s="31">
        <f t="shared" si="99"/>
        <v>10.56</v>
      </c>
      <c r="T309" s="31"/>
      <c r="U309" s="31">
        <f t="shared" si="100"/>
        <v>15.34</v>
      </c>
      <c r="V309" s="31"/>
      <c r="W309" s="1"/>
    </row>
    <row r="310" spans="1:23" ht="14.4" x14ac:dyDescent="0.25">
      <c r="A310" s="150"/>
      <c r="B310" s="15" t="s">
        <v>272</v>
      </c>
      <c r="C310" s="73">
        <v>13.8</v>
      </c>
      <c r="D310" s="131">
        <v>15.46</v>
      </c>
      <c r="E310" s="33">
        <v>1</v>
      </c>
      <c r="F310" s="29"/>
      <c r="G310" s="30"/>
      <c r="H310" s="30">
        <f t="shared" si="98"/>
        <v>13.8</v>
      </c>
      <c r="I310" s="156"/>
      <c r="J310" s="156"/>
      <c r="K310" s="156"/>
      <c r="L310" s="156"/>
      <c r="M310" s="156"/>
      <c r="N310" s="156"/>
      <c r="O310" s="156"/>
      <c r="P310" s="156"/>
      <c r="Q310" s="156"/>
      <c r="R310" s="31"/>
      <c r="S310" s="31">
        <f t="shared" si="99"/>
        <v>13.8</v>
      </c>
      <c r="T310" s="31"/>
      <c r="U310" s="31">
        <f t="shared" si="100"/>
        <v>15.46</v>
      </c>
      <c r="V310" s="31"/>
      <c r="W310" s="1"/>
    </row>
    <row r="311" spans="1:23" ht="14.4" x14ac:dyDescent="0.25">
      <c r="A311" s="150"/>
      <c r="B311" s="15" t="s">
        <v>273</v>
      </c>
      <c r="C311" s="73">
        <v>3.68</v>
      </c>
      <c r="D311" s="131">
        <v>8.33</v>
      </c>
      <c r="E311" s="33">
        <v>1</v>
      </c>
      <c r="F311" s="29"/>
      <c r="G311" s="30"/>
      <c r="H311" s="30">
        <f t="shared" si="98"/>
        <v>3.68</v>
      </c>
      <c r="I311" s="156"/>
      <c r="J311" s="156"/>
      <c r="K311" s="156"/>
      <c r="L311" s="156"/>
      <c r="M311" s="156"/>
      <c r="N311" s="156"/>
      <c r="O311" s="156"/>
      <c r="P311" s="156"/>
      <c r="Q311" s="156"/>
      <c r="R311" s="31"/>
      <c r="S311" s="31">
        <f t="shared" si="99"/>
        <v>3.68</v>
      </c>
      <c r="T311" s="31"/>
      <c r="U311" s="31">
        <f t="shared" si="100"/>
        <v>8.33</v>
      </c>
      <c r="V311" s="31"/>
      <c r="W311" s="1"/>
    </row>
    <row r="312" spans="1:23" ht="14.4" x14ac:dyDescent="0.25">
      <c r="A312" s="150"/>
      <c r="B312" s="220" t="s">
        <v>168</v>
      </c>
      <c r="C312" s="222">
        <v>16</v>
      </c>
      <c r="D312" s="131">
        <v>17.55</v>
      </c>
      <c r="E312" s="33">
        <v>1</v>
      </c>
      <c r="F312" s="29"/>
      <c r="G312" s="30"/>
      <c r="H312" s="30">
        <f t="shared" si="98"/>
        <v>16</v>
      </c>
      <c r="I312" s="156"/>
      <c r="J312" s="156"/>
      <c r="K312" s="156"/>
      <c r="L312" s="156"/>
      <c r="M312" s="156"/>
      <c r="N312" s="156"/>
      <c r="O312" s="156"/>
      <c r="P312" s="156"/>
      <c r="Q312" s="156"/>
      <c r="R312" s="31"/>
      <c r="S312" s="31">
        <f t="shared" si="99"/>
        <v>16</v>
      </c>
      <c r="T312" s="31"/>
      <c r="U312" s="31"/>
      <c r="V312" s="31"/>
      <c r="W312" s="1"/>
    </row>
    <row r="313" spans="1:23" ht="14.4" x14ac:dyDescent="0.25">
      <c r="A313" s="150"/>
      <c r="B313" s="15" t="s">
        <v>245</v>
      </c>
      <c r="C313" s="73">
        <v>12.04</v>
      </c>
      <c r="D313" s="131">
        <v>15.85</v>
      </c>
      <c r="E313" s="33">
        <v>1</v>
      </c>
      <c r="F313" s="29"/>
      <c r="G313" s="30"/>
      <c r="H313" s="30">
        <f t="shared" si="98"/>
        <v>12.04</v>
      </c>
      <c r="I313" s="156"/>
      <c r="J313" s="156"/>
      <c r="K313" s="156"/>
      <c r="L313" s="156"/>
      <c r="M313" s="156"/>
      <c r="N313" s="156"/>
      <c r="O313" s="156"/>
      <c r="P313" s="156"/>
      <c r="Q313" s="156"/>
      <c r="R313" s="31"/>
      <c r="S313" s="31">
        <f t="shared" si="99"/>
        <v>12.04</v>
      </c>
      <c r="T313" s="31"/>
      <c r="U313" s="31">
        <f t="shared" si="100"/>
        <v>15.85</v>
      </c>
      <c r="V313" s="31"/>
      <c r="W313" s="1"/>
    </row>
    <row r="314" spans="1:23" ht="14.4" x14ac:dyDescent="0.25">
      <c r="A314" s="150"/>
      <c r="B314" s="220" t="s">
        <v>274</v>
      </c>
      <c r="C314" s="222">
        <v>17.22</v>
      </c>
      <c r="D314" s="131">
        <v>17.38</v>
      </c>
      <c r="E314" s="33">
        <v>1</v>
      </c>
      <c r="F314" s="29"/>
      <c r="G314" s="30"/>
      <c r="H314" s="30">
        <f t="shared" si="98"/>
        <v>17.22</v>
      </c>
      <c r="I314" s="156"/>
      <c r="J314" s="156"/>
      <c r="K314" s="156"/>
      <c r="L314" s="156"/>
      <c r="M314" s="156"/>
      <c r="N314" s="156"/>
      <c r="O314" s="156"/>
      <c r="P314" s="156"/>
      <c r="Q314" s="156"/>
      <c r="R314" s="31"/>
      <c r="S314" s="31">
        <f t="shared" si="99"/>
        <v>17.22</v>
      </c>
      <c r="T314" s="31"/>
      <c r="U314" s="31"/>
      <c r="V314" s="31"/>
      <c r="W314" s="1"/>
    </row>
    <row r="315" spans="1:23" ht="14.4" x14ac:dyDescent="0.25">
      <c r="A315" s="150"/>
      <c r="B315" s="15" t="s">
        <v>275</v>
      </c>
      <c r="C315" s="73">
        <v>17.22</v>
      </c>
      <c r="D315" s="131">
        <v>17.38</v>
      </c>
      <c r="E315" s="33">
        <v>1</v>
      </c>
      <c r="F315" s="29"/>
      <c r="G315" s="30"/>
      <c r="H315" s="30">
        <f t="shared" si="98"/>
        <v>17.22</v>
      </c>
      <c r="I315" s="156"/>
      <c r="J315" s="156"/>
      <c r="K315" s="156"/>
      <c r="L315" s="156"/>
      <c r="M315" s="156"/>
      <c r="N315" s="156"/>
      <c r="O315" s="156"/>
      <c r="P315" s="156"/>
      <c r="Q315" s="156"/>
      <c r="R315" s="31"/>
      <c r="S315" s="31">
        <f t="shared" si="99"/>
        <v>17.22</v>
      </c>
      <c r="T315" s="31"/>
      <c r="U315" s="31"/>
      <c r="V315" s="31"/>
      <c r="W315" s="1"/>
    </row>
    <row r="316" spans="1:23" ht="14.4" x14ac:dyDescent="0.25">
      <c r="A316" s="150"/>
      <c r="B316" s="15" t="s">
        <v>276</v>
      </c>
      <c r="C316" s="73">
        <v>20.72</v>
      </c>
      <c r="D316" s="131">
        <v>21.59</v>
      </c>
      <c r="E316" s="33">
        <v>1</v>
      </c>
      <c r="F316" s="29"/>
      <c r="G316" s="30"/>
      <c r="H316" s="30">
        <f t="shared" si="98"/>
        <v>20.72</v>
      </c>
      <c r="I316" s="156"/>
      <c r="J316" s="156"/>
      <c r="K316" s="156"/>
      <c r="L316" s="156"/>
      <c r="M316" s="156"/>
      <c r="N316" s="156"/>
      <c r="O316" s="156"/>
      <c r="P316" s="156"/>
      <c r="Q316" s="156"/>
      <c r="R316" s="31"/>
      <c r="S316" s="31">
        <f t="shared" si="99"/>
        <v>20.72</v>
      </c>
      <c r="T316" s="31"/>
      <c r="U316" s="31"/>
      <c r="V316" s="31"/>
      <c r="W316" s="1"/>
    </row>
    <row r="317" spans="1:23" ht="14.4" x14ac:dyDescent="0.25">
      <c r="A317" s="150"/>
      <c r="B317" s="15" t="s">
        <v>213</v>
      </c>
      <c r="C317" s="73">
        <v>5.85</v>
      </c>
      <c r="D317" s="131">
        <v>10.49</v>
      </c>
      <c r="E317" s="33">
        <v>1</v>
      </c>
      <c r="F317" s="29"/>
      <c r="G317" s="30"/>
      <c r="H317" s="30">
        <f t="shared" si="98"/>
        <v>5.85</v>
      </c>
      <c r="I317" s="156"/>
      <c r="J317" s="156"/>
      <c r="K317" s="156"/>
      <c r="L317" s="156"/>
      <c r="M317" s="156"/>
      <c r="N317" s="156"/>
      <c r="O317" s="156"/>
      <c r="P317" s="156"/>
      <c r="Q317" s="156"/>
      <c r="R317" s="31">
        <f>H317</f>
        <v>5.85</v>
      </c>
      <c r="S317" s="31"/>
      <c r="T317" s="31"/>
      <c r="U317" s="31"/>
      <c r="V317" s="31">
        <f>D317*E317</f>
        <v>10.49</v>
      </c>
      <c r="W317" s="1"/>
    </row>
    <row r="318" spans="1:23" ht="14.4" x14ac:dyDescent="0.25">
      <c r="A318" s="150"/>
      <c r="B318" s="15" t="s">
        <v>279</v>
      </c>
      <c r="C318" s="73">
        <v>3.19</v>
      </c>
      <c r="D318" s="131">
        <v>7.3</v>
      </c>
      <c r="E318" s="33">
        <v>2</v>
      </c>
      <c r="F318" s="29"/>
      <c r="G318" s="30"/>
      <c r="H318" s="30">
        <f t="shared" si="98"/>
        <v>6.38</v>
      </c>
      <c r="I318" s="156"/>
      <c r="J318" s="156"/>
      <c r="K318" s="156"/>
      <c r="L318" s="156"/>
      <c r="M318" s="156"/>
      <c r="N318" s="156"/>
      <c r="O318" s="156"/>
      <c r="P318" s="156"/>
      <c r="Q318" s="156"/>
      <c r="R318" s="31">
        <f>H318</f>
        <v>6.38</v>
      </c>
      <c r="S318" s="31"/>
      <c r="T318" s="31"/>
      <c r="U318" s="31"/>
      <c r="V318" s="31">
        <f>D318*E318</f>
        <v>14.6</v>
      </c>
      <c r="W318" s="1"/>
    </row>
    <row r="319" spans="1:23" ht="14.4" x14ac:dyDescent="0.25">
      <c r="A319" s="150"/>
      <c r="B319" s="220" t="s">
        <v>212</v>
      </c>
      <c r="C319" s="222">
        <v>4.4000000000000004</v>
      </c>
      <c r="D319" s="131">
        <v>8.5</v>
      </c>
      <c r="E319" s="33">
        <v>1</v>
      </c>
      <c r="F319" s="29"/>
      <c r="G319" s="30"/>
      <c r="H319" s="30">
        <f t="shared" si="98"/>
        <v>4.4000000000000004</v>
      </c>
      <c r="I319" s="156"/>
      <c r="J319" s="156"/>
      <c r="K319" s="156"/>
      <c r="L319" s="156"/>
      <c r="M319" s="156"/>
      <c r="N319" s="156"/>
      <c r="O319" s="156"/>
      <c r="P319" s="156"/>
      <c r="Q319" s="156"/>
      <c r="R319" s="31"/>
      <c r="S319" s="31">
        <f t="shared" si="99"/>
        <v>4.4000000000000004</v>
      </c>
      <c r="T319" s="31"/>
      <c r="U319" s="31">
        <f t="shared" si="100"/>
        <v>8.5</v>
      </c>
      <c r="V319" s="31"/>
      <c r="W319" s="1"/>
    </row>
    <row r="320" spans="1:23" ht="14.4" x14ac:dyDescent="0.25">
      <c r="A320" s="150"/>
      <c r="B320" s="15" t="s">
        <v>212</v>
      </c>
      <c r="C320" s="73">
        <v>5.04</v>
      </c>
      <c r="D320" s="131">
        <v>9.1999999999999993</v>
      </c>
      <c r="E320" s="33">
        <v>1</v>
      </c>
      <c r="F320" s="29"/>
      <c r="G320" s="30"/>
      <c r="H320" s="30">
        <f t="shared" si="98"/>
        <v>5.04</v>
      </c>
      <c r="I320" s="156"/>
      <c r="J320" s="156"/>
      <c r="K320" s="156"/>
      <c r="L320" s="156"/>
      <c r="M320" s="156"/>
      <c r="N320" s="156"/>
      <c r="O320" s="156"/>
      <c r="P320" s="156"/>
      <c r="Q320" s="156"/>
      <c r="R320" s="31"/>
      <c r="S320" s="31">
        <f t="shared" si="99"/>
        <v>5.04</v>
      </c>
      <c r="T320" s="31"/>
      <c r="U320" s="31">
        <f t="shared" si="100"/>
        <v>9.1999999999999993</v>
      </c>
      <c r="V320" s="31"/>
      <c r="W320" s="1"/>
    </row>
    <row r="321" spans="1:23" ht="14.4" x14ac:dyDescent="0.25">
      <c r="A321" s="150"/>
      <c r="B321" s="15" t="s">
        <v>278</v>
      </c>
      <c r="C321" s="73">
        <v>2.64</v>
      </c>
      <c r="D321" s="131">
        <v>6.8</v>
      </c>
      <c r="E321" s="33">
        <v>2</v>
      </c>
      <c r="F321" s="29"/>
      <c r="G321" s="30"/>
      <c r="H321" s="30">
        <f t="shared" si="98"/>
        <v>5.28</v>
      </c>
      <c r="I321" s="156"/>
      <c r="J321" s="156"/>
      <c r="K321" s="156"/>
      <c r="L321" s="156"/>
      <c r="M321" s="156"/>
      <c r="N321" s="156"/>
      <c r="O321" s="156"/>
      <c r="P321" s="156"/>
      <c r="Q321" s="156"/>
      <c r="R321" s="31">
        <f>H321</f>
        <v>5.28</v>
      </c>
      <c r="S321" s="31"/>
      <c r="T321" s="31"/>
      <c r="U321" s="31"/>
      <c r="V321" s="31">
        <f>D321*E321</f>
        <v>13.6</v>
      </c>
      <c r="W321" s="1"/>
    </row>
    <row r="322" spans="1:23" ht="14.4" x14ac:dyDescent="0.25">
      <c r="A322" s="150"/>
      <c r="B322" s="15" t="s">
        <v>246</v>
      </c>
      <c r="C322" s="73">
        <v>10.3</v>
      </c>
      <c r="D322" s="131">
        <f>9.1-2.35+4.54</f>
        <v>11.29</v>
      </c>
      <c r="E322" s="33">
        <v>1</v>
      </c>
      <c r="F322" s="29"/>
      <c r="G322" s="30"/>
      <c r="H322" s="30">
        <f t="shared" si="98"/>
        <v>10.3</v>
      </c>
      <c r="I322" s="156"/>
      <c r="J322" s="156"/>
      <c r="K322" s="156"/>
      <c r="L322" s="156"/>
      <c r="M322" s="156"/>
      <c r="N322" s="156"/>
      <c r="O322" s="156"/>
      <c r="P322" s="156"/>
      <c r="Q322" s="156"/>
      <c r="R322" s="31"/>
      <c r="S322" s="31">
        <f t="shared" si="99"/>
        <v>10.3</v>
      </c>
      <c r="T322" s="31"/>
      <c r="U322" s="31"/>
      <c r="V322" s="31"/>
      <c r="W322" s="1"/>
    </row>
    <row r="323" spans="1:23" ht="14.4" x14ac:dyDescent="0.25">
      <c r="A323" s="150"/>
      <c r="B323" s="15" t="s">
        <v>213</v>
      </c>
      <c r="C323" s="73">
        <v>4.8</v>
      </c>
      <c r="D323" s="131">
        <v>9.0299999999999994</v>
      </c>
      <c r="E323" s="33">
        <v>1</v>
      </c>
      <c r="F323" s="29"/>
      <c r="G323" s="30"/>
      <c r="H323" s="30">
        <f t="shared" si="98"/>
        <v>4.8</v>
      </c>
      <c r="I323" s="156"/>
      <c r="J323" s="156"/>
      <c r="K323" s="156"/>
      <c r="L323" s="156"/>
      <c r="M323" s="156"/>
      <c r="N323" s="156"/>
      <c r="O323" s="156"/>
      <c r="P323" s="156"/>
      <c r="Q323" s="156"/>
      <c r="R323" s="31">
        <f>H323</f>
        <v>4.8</v>
      </c>
      <c r="S323" s="31"/>
      <c r="T323" s="31"/>
      <c r="U323" s="31"/>
      <c r="V323" s="31">
        <f>D323*E323</f>
        <v>9.0299999999999994</v>
      </c>
      <c r="W323" s="1"/>
    </row>
    <row r="324" spans="1:23" ht="14.4" x14ac:dyDescent="0.25">
      <c r="A324" s="150"/>
      <c r="B324" s="15" t="s">
        <v>280</v>
      </c>
      <c r="C324" s="73">
        <v>5.6</v>
      </c>
      <c r="D324" s="131">
        <v>9.6</v>
      </c>
      <c r="E324" s="33">
        <v>5</v>
      </c>
      <c r="F324" s="29"/>
      <c r="G324" s="30"/>
      <c r="H324" s="30">
        <f t="shared" si="98"/>
        <v>28</v>
      </c>
      <c r="I324" s="156"/>
      <c r="J324" s="156"/>
      <c r="K324" s="156"/>
      <c r="L324" s="156"/>
      <c r="M324" s="156"/>
      <c r="N324" s="156"/>
      <c r="O324" s="156"/>
      <c r="P324" s="156"/>
      <c r="Q324" s="156"/>
      <c r="R324" s="31"/>
      <c r="S324" s="31">
        <f t="shared" si="99"/>
        <v>28</v>
      </c>
      <c r="T324" s="31"/>
      <c r="U324" s="31"/>
      <c r="V324" s="31"/>
      <c r="W324" s="1"/>
    </row>
    <row r="325" spans="1:23" ht="14.4" x14ac:dyDescent="0.25">
      <c r="A325" s="150"/>
      <c r="B325" s="15" t="s">
        <v>213</v>
      </c>
      <c r="C325" s="73">
        <v>4.76</v>
      </c>
      <c r="D325" s="131">
        <v>9</v>
      </c>
      <c r="E325" s="33">
        <v>1</v>
      </c>
      <c r="F325" s="29"/>
      <c r="G325" s="30"/>
      <c r="H325" s="30">
        <f t="shared" si="98"/>
        <v>4.76</v>
      </c>
      <c r="I325" s="156"/>
      <c r="J325" s="156"/>
      <c r="K325" s="156"/>
      <c r="L325" s="156"/>
      <c r="M325" s="156"/>
      <c r="N325" s="156"/>
      <c r="O325" s="156"/>
      <c r="P325" s="156"/>
      <c r="Q325" s="156"/>
      <c r="R325" s="31">
        <f>H325</f>
        <v>4.76</v>
      </c>
      <c r="S325" s="31"/>
      <c r="T325" s="31"/>
      <c r="U325" s="31"/>
      <c r="V325" s="31">
        <f>D325*E325</f>
        <v>9</v>
      </c>
      <c r="W325" s="1"/>
    </row>
    <row r="326" spans="1:23" ht="14.4" x14ac:dyDescent="0.25">
      <c r="A326" s="150"/>
      <c r="B326" s="15" t="s">
        <v>213</v>
      </c>
      <c r="C326" s="73">
        <v>6.07</v>
      </c>
      <c r="D326" s="131">
        <v>9.89</v>
      </c>
      <c r="E326" s="33">
        <v>1</v>
      </c>
      <c r="F326" s="29"/>
      <c r="G326" s="30"/>
      <c r="H326" s="30">
        <f t="shared" si="98"/>
        <v>6.07</v>
      </c>
      <c r="I326" s="156"/>
      <c r="J326" s="156"/>
      <c r="K326" s="156"/>
      <c r="L326" s="156"/>
      <c r="M326" s="156"/>
      <c r="N326" s="156"/>
      <c r="O326" s="156"/>
      <c r="P326" s="156"/>
      <c r="Q326" s="156"/>
      <c r="R326" s="31">
        <f>H326</f>
        <v>6.07</v>
      </c>
      <c r="S326" s="31"/>
      <c r="T326" s="31"/>
      <c r="U326" s="31"/>
      <c r="V326" s="31">
        <f>D326*E326</f>
        <v>9.89</v>
      </c>
      <c r="W326" s="1"/>
    </row>
    <row r="327" spans="1:23" ht="14.4" x14ac:dyDescent="0.25">
      <c r="A327" s="150"/>
      <c r="B327" s="15" t="s">
        <v>281</v>
      </c>
      <c r="C327" s="73">
        <v>8.5399999999999991</v>
      </c>
      <c r="D327" s="131">
        <v>12.09</v>
      </c>
      <c r="E327" s="33">
        <v>1</v>
      </c>
      <c r="F327" s="29"/>
      <c r="G327" s="30"/>
      <c r="H327" s="30">
        <f t="shared" si="98"/>
        <v>8.5399999999999991</v>
      </c>
      <c r="I327" s="156"/>
      <c r="J327" s="156"/>
      <c r="K327" s="156"/>
      <c r="L327" s="156"/>
      <c r="M327" s="156"/>
      <c r="N327" s="156"/>
      <c r="O327" s="156"/>
      <c r="P327" s="156"/>
      <c r="Q327" s="156">
        <f>H327</f>
        <v>8.5399999999999991</v>
      </c>
      <c r="R327" s="31"/>
      <c r="S327" s="31"/>
      <c r="T327" s="31"/>
      <c r="U327" s="31"/>
      <c r="V327" s="31"/>
      <c r="W327" s="1"/>
    </row>
    <row r="328" spans="1:23" ht="14.4" x14ac:dyDescent="0.25">
      <c r="A328" s="150"/>
      <c r="B328" s="15" t="s">
        <v>158</v>
      </c>
      <c r="C328" s="73">
        <v>2.81</v>
      </c>
      <c r="D328" s="131">
        <v>7.31</v>
      </c>
      <c r="E328" s="33">
        <v>1</v>
      </c>
      <c r="F328" s="29"/>
      <c r="G328" s="30"/>
      <c r="H328" s="30">
        <f t="shared" si="98"/>
        <v>2.81</v>
      </c>
      <c r="I328" s="156"/>
      <c r="J328" s="156"/>
      <c r="K328" s="156"/>
      <c r="L328" s="156"/>
      <c r="M328" s="156"/>
      <c r="N328" s="156"/>
      <c r="O328" s="156"/>
      <c r="P328" s="156"/>
      <c r="Q328" s="156">
        <f>H328</f>
        <v>2.81</v>
      </c>
      <c r="R328" s="31"/>
      <c r="S328" s="31"/>
      <c r="T328" s="31"/>
      <c r="U328" s="31"/>
      <c r="V328" s="31"/>
      <c r="W328" s="1"/>
    </row>
    <row r="329" spans="1:23" ht="14.4" x14ac:dyDescent="0.25">
      <c r="A329" s="150"/>
      <c r="B329" s="220" t="s">
        <v>168</v>
      </c>
      <c r="C329" s="222">
        <v>24.82</v>
      </c>
      <c r="D329" s="131">
        <f>32.2-(2.54+3.94)</f>
        <v>25.720000000000002</v>
      </c>
      <c r="E329" s="33">
        <v>1</v>
      </c>
      <c r="F329" s="29"/>
      <c r="G329" s="30"/>
      <c r="H329" s="30">
        <f t="shared" si="98"/>
        <v>24.82</v>
      </c>
      <c r="I329" s="156"/>
      <c r="J329" s="156"/>
      <c r="K329" s="156"/>
      <c r="L329" s="156"/>
      <c r="M329" s="156"/>
      <c r="N329" s="156"/>
      <c r="O329" s="156"/>
      <c r="P329" s="156"/>
      <c r="Q329" s="156"/>
      <c r="R329" s="31"/>
      <c r="S329" s="31">
        <f t="shared" si="99"/>
        <v>24.82</v>
      </c>
      <c r="T329" s="31"/>
      <c r="U329" s="31"/>
      <c r="V329" s="31"/>
      <c r="W329" s="1"/>
    </row>
    <row r="330" spans="1:23" ht="14.4" x14ac:dyDescent="0.25">
      <c r="A330" s="150"/>
      <c r="B330" s="15" t="s">
        <v>168</v>
      </c>
      <c r="C330" s="73">
        <v>5.88</v>
      </c>
      <c r="D330" s="131">
        <v>11.88</v>
      </c>
      <c r="E330" s="33">
        <v>1</v>
      </c>
      <c r="F330" s="29"/>
      <c r="G330" s="30"/>
      <c r="H330" s="30">
        <f t="shared" si="98"/>
        <v>5.88</v>
      </c>
      <c r="I330" s="156"/>
      <c r="J330" s="156"/>
      <c r="K330" s="156"/>
      <c r="L330" s="156"/>
      <c r="M330" s="156"/>
      <c r="N330" s="156"/>
      <c r="O330" s="156"/>
      <c r="P330" s="156"/>
      <c r="Q330" s="156"/>
      <c r="R330" s="31"/>
      <c r="S330" s="31">
        <f t="shared" si="99"/>
        <v>5.88</v>
      </c>
      <c r="T330" s="31"/>
      <c r="U330" s="31">
        <f t="shared" si="100"/>
        <v>11.88</v>
      </c>
      <c r="V330" s="31"/>
      <c r="W330" s="1"/>
    </row>
    <row r="331" spans="1:23" ht="14.4" x14ac:dyDescent="0.25">
      <c r="A331" s="150"/>
      <c r="B331" s="15" t="s">
        <v>282</v>
      </c>
      <c r="C331" s="73">
        <v>5.46</v>
      </c>
      <c r="D331" s="131">
        <v>10.1</v>
      </c>
      <c r="E331" s="33">
        <v>1</v>
      </c>
      <c r="F331" s="29"/>
      <c r="G331" s="30"/>
      <c r="H331" s="30">
        <f t="shared" si="98"/>
        <v>5.46</v>
      </c>
      <c r="I331" s="156"/>
      <c r="J331" s="156"/>
      <c r="K331" s="156"/>
      <c r="L331" s="156"/>
      <c r="M331" s="156"/>
      <c r="N331" s="156"/>
      <c r="O331" s="156"/>
      <c r="P331" s="156"/>
      <c r="Q331" s="156"/>
      <c r="R331" s="31"/>
      <c r="S331" s="31">
        <f t="shared" si="99"/>
        <v>5.46</v>
      </c>
      <c r="T331" s="31"/>
      <c r="U331" s="31">
        <f t="shared" si="100"/>
        <v>10.1</v>
      </c>
      <c r="V331" s="31"/>
      <c r="W331" s="1"/>
    </row>
    <row r="332" spans="1:23" ht="14.4" x14ac:dyDescent="0.25">
      <c r="A332" s="150"/>
      <c r="B332" s="15" t="s">
        <v>282</v>
      </c>
      <c r="C332" s="73">
        <v>3.73</v>
      </c>
      <c r="D332" s="131">
        <v>7.98</v>
      </c>
      <c r="E332" s="33">
        <v>1</v>
      </c>
      <c r="F332" s="29"/>
      <c r="G332" s="30"/>
      <c r="H332" s="30">
        <f t="shared" si="98"/>
        <v>3.73</v>
      </c>
      <c r="I332" s="156"/>
      <c r="J332" s="156"/>
      <c r="K332" s="156"/>
      <c r="L332" s="156"/>
      <c r="M332" s="156"/>
      <c r="N332" s="156"/>
      <c r="O332" s="156"/>
      <c r="P332" s="156"/>
      <c r="Q332" s="156"/>
      <c r="R332" s="31"/>
      <c r="S332" s="31">
        <f t="shared" si="99"/>
        <v>3.73</v>
      </c>
      <c r="T332" s="31"/>
      <c r="U332" s="31">
        <f t="shared" si="100"/>
        <v>7.98</v>
      </c>
      <c r="V332" s="31"/>
      <c r="W332" s="1"/>
    </row>
    <row r="333" spans="1:23" ht="14.4" x14ac:dyDescent="0.25">
      <c r="A333" s="150"/>
      <c r="B333" s="15" t="s">
        <v>213</v>
      </c>
      <c r="C333" s="73">
        <v>3.83</v>
      </c>
      <c r="D333" s="131">
        <v>8.48</v>
      </c>
      <c r="E333" s="33">
        <v>1</v>
      </c>
      <c r="F333" s="29"/>
      <c r="G333" s="30"/>
      <c r="H333" s="30">
        <f t="shared" si="98"/>
        <v>3.83</v>
      </c>
      <c r="I333" s="156"/>
      <c r="J333" s="156"/>
      <c r="K333" s="156"/>
      <c r="L333" s="156"/>
      <c r="M333" s="156"/>
      <c r="N333" s="156"/>
      <c r="O333" s="156"/>
      <c r="P333" s="156"/>
      <c r="Q333" s="156"/>
      <c r="R333" s="31">
        <f>H333</f>
        <v>3.83</v>
      </c>
      <c r="S333" s="31"/>
      <c r="T333" s="31"/>
      <c r="U333" s="31"/>
      <c r="V333" s="31">
        <f>D333*E333</f>
        <v>8.48</v>
      </c>
      <c r="W333" s="1"/>
    </row>
    <row r="334" spans="1:23" ht="14.4" x14ac:dyDescent="0.25">
      <c r="A334" s="150"/>
      <c r="B334" s="15" t="s">
        <v>288</v>
      </c>
      <c r="C334" s="73">
        <v>5</v>
      </c>
      <c r="D334" s="131">
        <v>9</v>
      </c>
      <c r="E334" s="33">
        <v>1</v>
      </c>
      <c r="F334" s="29"/>
      <c r="G334" s="30"/>
      <c r="H334" s="30">
        <f t="shared" si="98"/>
        <v>5</v>
      </c>
      <c r="I334" s="156"/>
      <c r="J334" s="156"/>
      <c r="K334" s="156"/>
      <c r="L334" s="156"/>
      <c r="M334" s="156"/>
      <c r="N334" s="156"/>
      <c r="O334" s="156"/>
      <c r="P334" s="156"/>
      <c r="Q334" s="156"/>
      <c r="R334" s="31"/>
      <c r="S334" s="31">
        <f t="shared" si="99"/>
        <v>5</v>
      </c>
      <c r="T334" s="31"/>
      <c r="U334" s="31">
        <f t="shared" si="100"/>
        <v>9</v>
      </c>
      <c r="V334" s="31"/>
      <c r="W334" s="1"/>
    </row>
    <row r="335" spans="1:23" ht="14.4" x14ac:dyDescent="0.25">
      <c r="A335" s="150"/>
      <c r="B335" s="220" t="s">
        <v>168</v>
      </c>
      <c r="C335" s="222">
        <v>37.79</v>
      </c>
      <c r="D335" s="131">
        <f>37.71-4.7</f>
        <v>33.01</v>
      </c>
      <c r="E335" s="33">
        <v>1</v>
      </c>
      <c r="F335" s="29"/>
      <c r="G335" s="30"/>
      <c r="H335" s="30">
        <f t="shared" si="98"/>
        <v>37.79</v>
      </c>
      <c r="I335" s="156"/>
      <c r="J335" s="156"/>
      <c r="K335" s="156"/>
      <c r="L335" s="156"/>
      <c r="M335" s="156"/>
      <c r="N335" s="156"/>
      <c r="O335" s="156"/>
      <c r="P335" s="156"/>
      <c r="Q335" s="156"/>
      <c r="R335" s="31"/>
      <c r="S335" s="31">
        <f t="shared" si="99"/>
        <v>37.79</v>
      </c>
      <c r="T335" s="31"/>
      <c r="U335" s="31"/>
      <c r="V335" s="31"/>
      <c r="W335" s="1"/>
    </row>
    <row r="336" spans="1:23" ht="28.8" x14ac:dyDescent="0.25">
      <c r="A336" s="150"/>
      <c r="B336" s="263" t="s">
        <v>283</v>
      </c>
      <c r="C336" s="222">
        <v>43.77</v>
      </c>
      <c r="D336" s="131">
        <v>32.700000000000003</v>
      </c>
      <c r="E336" s="33">
        <v>1</v>
      </c>
      <c r="F336" s="29"/>
      <c r="G336" s="30"/>
      <c r="H336" s="30">
        <f t="shared" si="98"/>
        <v>43.77</v>
      </c>
      <c r="I336" s="156"/>
      <c r="J336" s="156"/>
      <c r="K336" s="156"/>
      <c r="L336" s="156"/>
      <c r="M336" s="156"/>
      <c r="N336" s="156"/>
      <c r="O336" s="156"/>
      <c r="P336" s="156"/>
      <c r="Q336" s="156"/>
      <c r="R336" s="31"/>
      <c r="S336" s="31">
        <f t="shared" si="99"/>
        <v>43.77</v>
      </c>
      <c r="T336" s="31"/>
      <c r="U336" s="31"/>
      <c r="V336" s="31"/>
      <c r="W336" s="1"/>
    </row>
    <row r="337" spans="1:23" ht="14.4" x14ac:dyDescent="0.25">
      <c r="A337" s="150"/>
      <c r="B337" s="15" t="s">
        <v>158</v>
      </c>
      <c r="C337" s="73">
        <v>3.58</v>
      </c>
      <c r="D337" s="131">
        <v>8.36</v>
      </c>
      <c r="E337" s="33">
        <v>1</v>
      </c>
      <c r="F337" s="29"/>
      <c r="G337" s="30"/>
      <c r="H337" s="30">
        <f t="shared" si="98"/>
        <v>3.58</v>
      </c>
      <c r="I337" s="156"/>
      <c r="J337" s="156"/>
      <c r="K337" s="156"/>
      <c r="L337" s="156"/>
      <c r="M337" s="156"/>
      <c r="N337" s="156"/>
      <c r="O337" s="156"/>
      <c r="P337" s="156"/>
      <c r="Q337" s="156">
        <f>H337</f>
        <v>3.58</v>
      </c>
      <c r="R337" s="31"/>
      <c r="S337" s="31">
        <f t="shared" si="99"/>
        <v>3.58</v>
      </c>
      <c r="T337" s="31"/>
      <c r="U337" s="31">
        <f t="shared" si="100"/>
        <v>8.36</v>
      </c>
      <c r="V337" s="31"/>
      <c r="W337" s="1"/>
    </row>
    <row r="338" spans="1:23" ht="14.4" x14ac:dyDescent="0.25">
      <c r="A338" s="150"/>
      <c r="B338" s="15" t="s">
        <v>280</v>
      </c>
      <c r="C338" s="73">
        <v>4.7300000000000004</v>
      </c>
      <c r="D338" s="131">
        <v>8.9</v>
      </c>
      <c r="E338" s="33">
        <v>2</v>
      </c>
      <c r="F338" s="29"/>
      <c r="G338" s="30"/>
      <c r="H338" s="30">
        <f t="shared" si="98"/>
        <v>9.4600000000000009</v>
      </c>
      <c r="I338" s="156"/>
      <c r="J338" s="156"/>
      <c r="K338" s="156"/>
      <c r="L338" s="156"/>
      <c r="M338" s="156"/>
      <c r="N338" s="156"/>
      <c r="O338" s="156"/>
      <c r="P338" s="156"/>
      <c r="Q338" s="156"/>
      <c r="R338" s="31"/>
      <c r="S338" s="31">
        <f t="shared" si="99"/>
        <v>9.4600000000000009</v>
      </c>
      <c r="T338" s="31"/>
      <c r="U338" s="31"/>
      <c r="V338" s="31"/>
      <c r="W338" s="1"/>
    </row>
    <row r="339" spans="1:23" ht="14.4" x14ac:dyDescent="0.25">
      <c r="A339" s="150"/>
      <c r="B339" s="15" t="s">
        <v>213</v>
      </c>
      <c r="C339" s="73">
        <v>4.55</v>
      </c>
      <c r="D339" s="131">
        <v>8.85</v>
      </c>
      <c r="E339" s="33">
        <v>2</v>
      </c>
      <c r="F339" s="29"/>
      <c r="G339" s="30"/>
      <c r="H339" s="30">
        <f t="shared" si="98"/>
        <v>9.1</v>
      </c>
      <c r="I339" s="156"/>
      <c r="J339" s="156"/>
      <c r="K339" s="156"/>
      <c r="L339" s="156"/>
      <c r="M339" s="156"/>
      <c r="N339" s="156"/>
      <c r="O339" s="156"/>
      <c r="P339" s="156"/>
      <c r="Q339" s="156"/>
      <c r="R339" s="31">
        <f>H339</f>
        <v>9.1</v>
      </c>
      <c r="S339" s="31"/>
      <c r="T339" s="31"/>
      <c r="U339" s="31"/>
      <c r="V339" s="31">
        <f>D339*E339</f>
        <v>17.7</v>
      </c>
      <c r="W339" s="1"/>
    </row>
    <row r="340" spans="1:23" ht="14.4" x14ac:dyDescent="0.25">
      <c r="A340" s="150"/>
      <c r="B340" s="15" t="s">
        <v>269</v>
      </c>
      <c r="C340" s="73">
        <v>2.66</v>
      </c>
      <c r="D340" s="131">
        <v>8.6</v>
      </c>
      <c r="E340" s="33">
        <v>1</v>
      </c>
      <c r="F340" s="29"/>
      <c r="G340" s="30"/>
      <c r="H340" s="30">
        <f t="shared" si="98"/>
        <v>2.66</v>
      </c>
      <c r="I340" s="156"/>
      <c r="J340" s="156"/>
      <c r="K340" s="156"/>
      <c r="L340" s="156"/>
      <c r="M340" s="156"/>
      <c r="N340" s="156"/>
      <c r="O340" s="156"/>
      <c r="P340" s="156"/>
      <c r="Q340" s="156"/>
      <c r="R340" s="31"/>
      <c r="S340" s="31">
        <f t="shared" si="99"/>
        <v>2.66</v>
      </c>
      <c r="T340" s="31"/>
      <c r="U340" s="31"/>
      <c r="V340" s="31"/>
      <c r="W340" s="1"/>
    </row>
    <row r="341" spans="1:23" ht="14.4" x14ac:dyDescent="0.25">
      <c r="A341" s="150"/>
      <c r="B341" s="15" t="s">
        <v>213</v>
      </c>
      <c r="C341" s="73">
        <v>4.76</v>
      </c>
      <c r="D341" s="131">
        <v>9</v>
      </c>
      <c r="E341" s="33">
        <v>1</v>
      </c>
      <c r="F341" s="29"/>
      <c r="G341" s="30"/>
      <c r="H341" s="30">
        <f t="shared" si="98"/>
        <v>4.76</v>
      </c>
      <c r="I341" s="156"/>
      <c r="J341" s="156"/>
      <c r="K341" s="156"/>
      <c r="L341" s="156"/>
      <c r="M341" s="156"/>
      <c r="N341" s="156"/>
      <c r="O341" s="156"/>
      <c r="P341" s="156"/>
      <c r="Q341" s="156"/>
      <c r="R341" s="31">
        <f>H341</f>
        <v>4.76</v>
      </c>
      <c r="S341" s="31"/>
      <c r="T341" s="31"/>
      <c r="U341" s="31"/>
      <c r="V341" s="31">
        <f>D341*E341</f>
        <v>9</v>
      </c>
      <c r="W341" s="1"/>
    </row>
    <row r="342" spans="1:23" ht="14.4" x14ac:dyDescent="0.25">
      <c r="A342" s="150"/>
      <c r="B342" s="15" t="s">
        <v>177</v>
      </c>
      <c r="C342" s="73">
        <v>16.07</v>
      </c>
      <c r="D342" s="131">
        <v>18.03</v>
      </c>
      <c r="E342" s="33">
        <v>1</v>
      </c>
      <c r="F342" s="29"/>
      <c r="G342" s="30"/>
      <c r="H342" s="30">
        <f t="shared" si="98"/>
        <v>16.07</v>
      </c>
      <c r="I342" s="156"/>
      <c r="J342" s="156"/>
      <c r="K342" s="156"/>
      <c r="L342" s="156"/>
      <c r="M342" s="156"/>
      <c r="N342" s="156"/>
      <c r="O342" s="156"/>
      <c r="P342" s="156">
        <f>H342</f>
        <v>16.07</v>
      </c>
      <c r="Q342" s="156"/>
      <c r="R342" s="31"/>
      <c r="S342" s="31"/>
      <c r="T342" s="31"/>
      <c r="U342" s="31"/>
      <c r="V342" s="31"/>
      <c r="W342" s="1"/>
    </row>
    <row r="343" spans="1:23" ht="14.4" x14ac:dyDescent="0.25">
      <c r="A343" s="150"/>
      <c r="B343" s="15" t="s">
        <v>229</v>
      </c>
      <c r="C343" s="73">
        <v>1.6</v>
      </c>
      <c r="D343" s="131">
        <v>7.42</v>
      </c>
      <c r="E343" s="33">
        <v>1</v>
      </c>
      <c r="F343" s="29"/>
      <c r="G343" s="30"/>
      <c r="H343" s="30"/>
      <c r="I343" s="156"/>
      <c r="J343" s="156"/>
      <c r="K343" s="156"/>
      <c r="L343" s="156"/>
      <c r="M343" s="156"/>
      <c r="N343" s="156"/>
      <c r="O343" s="156"/>
      <c r="P343" s="156"/>
      <c r="Q343" s="156"/>
      <c r="R343" s="31"/>
      <c r="S343" s="31"/>
      <c r="T343" s="31"/>
      <c r="U343" s="31"/>
      <c r="V343" s="31"/>
      <c r="W343" s="1"/>
    </row>
    <row r="344" spans="1:23" ht="14.4" x14ac:dyDescent="0.25">
      <c r="A344" s="150"/>
      <c r="B344" s="15" t="s">
        <v>284</v>
      </c>
      <c r="C344" s="73">
        <v>33.15</v>
      </c>
      <c r="D344" s="131">
        <v>28.22</v>
      </c>
      <c r="E344" s="33">
        <v>1</v>
      </c>
      <c r="F344" s="29"/>
      <c r="G344" s="30"/>
      <c r="H344" s="30">
        <f t="shared" si="98"/>
        <v>33.15</v>
      </c>
      <c r="I344" s="156"/>
      <c r="J344" s="156"/>
      <c r="K344" s="156"/>
      <c r="L344" s="156"/>
      <c r="M344" s="156"/>
      <c r="N344" s="156"/>
      <c r="O344" s="156"/>
      <c r="P344" s="156"/>
      <c r="Q344" s="156"/>
      <c r="R344" s="31"/>
      <c r="S344" s="31">
        <f t="shared" si="99"/>
        <v>33.15</v>
      </c>
      <c r="T344" s="31"/>
      <c r="U344" s="31"/>
      <c r="V344" s="31"/>
      <c r="W344" s="1"/>
    </row>
    <row r="345" spans="1:23" ht="14.4" x14ac:dyDescent="0.25">
      <c r="A345" s="150"/>
      <c r="B345" s="15" t="s">
        <v>285</v>
      </c>
      <c r="C345" s="73">
        <v>29.94</v>
      </c>
      <c r="D345" s="131">
        <v>27</v>
      </c>
      <c r="E345" s="33">
        <v>1</v>
      </c>
      <c r="F345" s="29"/>
      <c r="G345" s="30"/>
      <c r="H345" s="30">
        <f t="shared" si="98"/>
        <v>29.94</v>
      </c>
      <c r="I345" s="156"/>
      <c r="J345" s="156"/>
      <c r="K345" s="156"/>
      <c r="L345" s="156"/>
      <c r="M345" s="156"/>
      <c r="N345" s="156"/>
      <c r="O345" s="156"/>
      <c r="P345" s="156"/>
      <c r="Q345" s="156"/>
      <c r="R345" s="31"/>
      <c r="S345" s="31">
        <f t="shared" si="99"/>
        <v>29.94</v>
      </c>
      <c r="T345" s="31"/>
      <c r="U345" s="31"/>
      <c r="V345" s="31"/>
      <c r="W345" s="1"/>
    </row>
    <row r="346" spans="1:23" ht="14.4" x14ac:dyDescent="0.25">
      <c r="A346" s="150"/>
      <c r="B346" s="220" t="s">
        <v>286</v>
      </c>
      <c r="C346" s="222">
        <v>25.65</v>
      </c>
      <c r="D346" s="131">
        <v>22.2</v>
      </c>
      <c r="E346" s="33">
        <v>1</v>
      </c>
      <c r="F346" s="29"/>
      <c r="G346" s="30"/>
      <c r="H346" s="30">
        <f t="shared" si="98"/>
        <v>25.65</v>
      </c>
      <c r="I346" s="156"/>
      <c r="J346" s="156"/>
      <c r="K346" s="156"/>
      <c r="L346" s="156"/>
      <c r="M346" s="156"/>
      <c r="N346" s="156"/>
      <c r="O346" s="156"/>
      <c r="P346" s="156"/>
      <c r="Q346" s="156"/>
      <c r="R346" s="31"/>
      <c r="S346" s="31">
        <f t="shared" si="99"/>
        <v>25.65</v>
      </c>
      <c r="T346" s="31"/>
      <c r="U346" s="31"/>
      <c r="V346" s="31"/>
      <c r="W346" s="1"/>
    </row>
    <row r="347" spans="1:23" ht="14.4" x14ac:dyDescent="0.25">
      <c r="A347" s="150"/>
      <c r="B347" s="15" t="s">
        <v>213</v>
      </c>
      <c r="C347" s="73">
        <v>6.15</v>
      </c>
      <c r="D347" s="131">
        <v>12.29</v>
      </c>
      <c r="E347" s="33">
        <v>1</v>
      </c>
      <c r="F347" s="29"/>
      <c r="G347" s="30"/>
      <c r="H347" s="30">
        <f t="shared" si="98"/>
        <v>6.15</v>
      </c>
      <c r="I347" s="156"/>
      <c r="J347" s="156"/>
      <c r="K347" s="156"/>
      <c r="L347" s="156"/>
      <c r="M347" s="156"/>
      <c r="N347" s="156"/>
      <c r="O347" s="156"/>
      <c r="P347" s="156"/>
      <c r="Q347" s="156"/>
      <c r="R347" s="31">
        <f>H347</f>
        <v>6.15</v>
      </c>
      <c r="S347" s="31"/>
      <c r="T347" s="31"/>
      <c r="U347" s="31"/>
      <c r="V347" s="31">
        <f>D347*E347</f>
        <v>12.29</v>
      </c>
      <c r="W347" s="1"/>
    </row>
    <row r="348" spans="1:23" ht="14.4" x14ac:dyDescent="0.25">
      <c r="A348" s="150"/>
      <c r="B348" s="15" t="s">
        <v>213</v>
      </c>
      <c r="C348" s="73">
        <v>4.59</v>
      </c>
      <c r="D348" s="131">
        <v>8.8000000000000007</v>
      </c>
      <c r="E348" s="33">
        <v>1</v>
      </c>
      <c r="F348" s="29"/>
      <c r="G348" s="30"/>
      <c r="H348" s="30">
        <f t="shared" si="98"/>
        <v>4.59</v>
      </c>
      <c r="I348" s="156"/>
      <c r="J348" s="156"/>
      <c r="K348" s="156"/>
      <c r="L348" s="156"/>
      <c r="M348" s="156"/>
      <c r="N348" s="156"/>
      <c r="O348" s="156"/>
      <c r="P348" s="156"/>
      <c r="Q348" s="156"/>
      <c r="R348" s="31">
        <f>H348</f>
        <v>4.59</v>
      </c>
      <c r="S348" s="31"/>
      <c r="T348" s="31"/>
      <c r="U348" s="31"/>
      <c r="V348" s="31">
        <f>D348*E348</f>
        <v>8.8000000000000007</v>
      </c>
      <c r="W348" s="1"/>
    </row>
    <row r="349" spans="1:23" ht="14.4" x14ac:dyDescent="0.25">
      <c r="A349" s="150"/>
      <c r="B349" s="220" t="s">
        <v>246</v>
      </c>
      <c r="C349" s="222">
        <v>22.43</v>
      </c>
      <c r="D349" s="131">
        <v>12.170000000000002</v>
      </c>
      <c r="E349" s="33">
        <v>1</v>
      </c>
      <c r="F349" s="29"/>
      <c r="G349" s="30"/>
      <c r="H349" s="30">
        <f t="shared" si="98"/>
        <v>22.43</v>
      </c>
      <c r="I349" s="156"/>
      <c r="J349" s="156"/>
      <c r="K349" s="156"/>
      <c r="L349" s="156"/>
      <c r="M349" s="156"/>
      <c r="N349" s="156"/>
      <c r="O349" s="156"/>
      <c r="P349" s="156"/>
      <c r="Q349" s="156"/>
      <c r="R349" s="31"/>
      <c r="S349" s="31">
        <f t="shared" si="99"/>
        <v>22.43</v>
      </c>
      <c r="T349" s="31"/>
      <c r="U349" s="31"/>
      <c r="V349" s="31"/>
      <c r="W349" s="1"/>
    </row>
    <row r="350" spans="1:23" ht="14.4" x14ac:dyDescent="0.25">
      <c r="A350" s="150"/>
      <c r="B350" s="15" t="s">
        <v>245</v>
      </c>
      <c r="C350" s="73">
        <v>12.85</v>
      </c>
      <c r="D350" s="131">
        <v>14.65</v>
      </c>
      <c r="E350" s="33">
        <v>1</v>
      </c>
      <c r="F350" s="29"/>
      <c r="G350" s="30"/>
      <c r="H350" s="30">
        <f t="shared" si="98"/>
        <v>12.85</v>
      </c>
      <c r="I350" s="156"/>
      <c r="J350" s="156"/>
      <c r="K350" s="156"/>
      <c r="L350" s="156"/>
      <c r="M350" s="156"/>
      <c r="N350" s="156"/>
      <c r="O350" s="156"/>
      <c r="P350" s="156"/>
      <c r="Q350" s="156"/>
      <c r="R350" s="31"/>
      <c r="S350" s="31">
        <f t="shared" si="99"/>
        <v>12.85</v>
      </c>
      <c r="T350" s="31"/>
      <c r="U350" s="31"/>
      <c r="V350" s="31"/>
      <c r="W350" s="1"/>
    </row>
    <row r="351" spans="1:23" ht="14.4" x14ac:dyDescent="0.25">
      <c r="A351" s="150"/>
      <c r="B351" s="15" t="s">
        <v>287</v>
      </c>
      <c r="C351" s="73">
        <v>24.35</v>
      </c>
      <c r="D351" s="131">
        <v>16.11</v>
      </c>
      <c r="E351" s="33">
        <v>1</v>
      </c>
      <c r="F351" s="29"/>
      <c r="G351" s="30"/>
      <c r="H351" s="30">
        <f t="shared" si="98"/>
        <v>24.35</v>
      </c>
      <c r="I351" s="156"/>
      <c r="J351" s="156"/>
      <c r="K351" s="156"/>
      <c r="L351" s="156"/>
      <c r="M351" s="156"/>
      <c r="N351" s="156"/>
      <c r="O351" s="156"/>
      <c r="P351" s="156"/>
      <c r="Q351" s="156"/>
      <c r="R351" s="31"/>
      <c r="S351" s="31">
        <f t="shared" si="99"/>
        <v>24.35</v>
      </c>
      <c r="T351" s="31"/>
      <c r="U351" s="31"/>
      <c r="V351" s="31"/>
      <c r="W351" s="1"/>
    </row>
    <row r="352" spans="1:23" ht="14.4" x14ac:dyDescent="0.25">
      <c r="A352" s="150"/>
      <c r="B352" s="15" t="s">
        <v>213</v>
      </c>
      <c r="C352" s="73">
        <v>4.3499999999999996</v>
      </c>
      <c r="D352" s="131">
        <v>8.6199999999999992</v>
      </c>
      <c r="E352" s="33">
        <v>1</v>
      </c>
      <c r="F352" s="29"/>
      <c r="G352" s="30"/>
      <c r="H352" s="30">
        <f t="shared" si="98"/>
        <v>4.3499999999999996</v>
      </c>
      <c r="I352" s="156"/>
      <c r="J352" s="156"/>
      <c r="K352" s="156"/>
      <c r="L352" s="156"/>
      <c r="M352" s="156"/>
      <c r="N352" s="156"/>
      <c r="O352" s="156"/>
      <c r="P352" s="156"/>
      <c r="Q352" s="156"/>
      <c r="R352" s="31">
        <f>H352</f>
        <v>4.3499999999999996</v>
      </c>
      <c r="S352" s="31"/>
      <c r="T352" s="31"/>
      <c r="U352" s="31"/>
      <c r="V352" s="31">
        <f>D352*E352</f>
        <v>8.6199999999999992</v>
      </c>
      <c r="W352" s="1"/>
    </row>
    <row r="353" spans="1:23" ht="14.4" x14ac:dyDescent="0.25">
      <c r="A353" s="150"/>
      <c r="B353" s="15" t="s">
        <v>248</v>
      </c>
      <c r="C353" s="73">
        <v>10.7</v>
      </c>
      <c r="D353" s="131">
        <v>14.3</v>
      </c>
      <c r="E353" s="33">
        <v>1</v>
      </c>
      <c r="F353" s="29"/>
      <c r="G353" s="30"/>
      <c r="H353" s="30">
        <f t="shared" si="98"/>
        <v>10.7</v>
      </c>
      <c r="I353" s="156"/>
      <c r="J353" s="156"/>
      <c r="K353" s="156"/>
      <c r="L353" s="156"/>
      <c r="M353" s="156"/>
      <c r="N353" s="156"/>
      <c r="O353" s="156"/>
      <c r="P353" s="156"/>
      <c r="Q353" s="156"/>
      <c r="R353" s="31"/>
      <c r="S353" s="31">
        <f t="shared" si="99"/>
        <v>10.7</v>
      </c>
      <c r="T353" s="31"/>
      <c r="U353" s="31">
        <f t="shared" si="100"/>
        <v>14.3</v>
      </c>
      <c r="V353" s="31"/>
      <c r="W353" s="1"/>
    </row>
    <row r="354" spans="1:23" ht="14.4" x14ac:dyDescent="0.25">
      <c r="A354" s="150"/>
      <c r="B354" s="15" t="s">
        <v>289</v>
      </c>
      <c r="C354" s="73">
        <v>8.48</v>
      </c>
      <c r="D354" s="131">
        <v>11.77</v>
      </c>
      <c r="E354" s="33">
        <v>1</v>
      </c>
      <c r="F354" s="29"/>
      <c r="G354" s="30"/>
      <c r="H354" s="30">
        <f t="shared" si="98"/>
        <v>8.48</v>
      </c>
      <c r="I354" s="156"/>
      <c r="J354" s="156"/>
      <c r="K354" s="156"/>
      <c r="L354" s="156"/>
      <c r="M354" s="156"/>
      <c r="N354" s="156"/>
      <c r="O354" s="156"/>
      <c r="P354" s="156"/>
      <c r="Q354" s="156"/>
      <c r="R354" s="31"/>
      <c r="S354" s="31">
        <f t="shared" si="99"/>
        <v>8.48</v>
      </c>
      <c r="T354" s="31"/>
      <c r="U354" s="31">
        <f t="shared" si="100"/>
        <v>11.77</v>
      </c>
      <c r="V354" s="31"/>
      <c r="W354" s="1"/>
    </row>
    <row r="355" spans="1:23" ht="14.4" x14ac:dyDescent="0.25">
      <c r="A355" s="150"/>
      <c r="B355" s="15" t="s">
        <v>213</v>
      </c>
      <c r="C355" s="73">
        <v>4.41</v>
      </c>
      <c r="D355" s="131">
        <v>9.3800000000000008</v>
      </c>
      <c r="E355" s="33">
        <v>1</v>
      </c>
      <c r="F355" s="29"/>
      <c r="G355" s="30"/>
      <c r="H355" s="30">
        <f t="shared" si="98"/>
        <v>4.41</v>
      </c>
      <c r="I355" s="156"/>
      <c r="J355" s="156"/>
      <c r="K355" s="156"/>
      <c r="L355" s="156"/>
      <c r="M355" s="156"/>
      <c r="N355" s="156"/>
      <c r="O355" s="156"/>
      <c r="P355" s="156"/>
      <c r="Q355" s="156"/>
      <c r="R355" s="31">
        <f>H355</f>
        <v>4.41</v>
      </c>
      <c r="S355" s="31"/>
      <c r="T355" s="31"/>
      <c r="U355" s="31"/>
      <c r="V355" s="31">
        <f>D355*E355</f>
        <v>9.3800000000000008</v>
      </c>
      <c r="W355" s="1"/>
    </row>
    <row r="356" spans="1:23" ht="14.4" x14ac:dyDescent="0.25">
      <c r="A356" s="150"/>
      <c r="B356" s="15" t="s">
        <v>281</v>
      </c>
      <c r="C356" s="73">
        <v>7.79</v>
      </c>
      <c r="D356" s="131">
        <v>11.21</v>
      </c>
      <c r="E356" s="33">
        <v>1</v>
      </c>
      <c r="F356" s="29"/>
      <c r="G356" s="30"/>
      <c r="H356" s="30">
        <f t="shared" si="98"/>
        <v>7.79</v>
      </c>
      <c r="I356" s="156"/>
      <c r="J356" s="156"/>
      <c r="K356" s="156"/>
      <c r="L356" s="156"/>
      <c r="M356" s="156"/>
      <c r="N356" s="156"/>
      <c r="O356" s="156"/>
      <c r="P356" s="156"/>
      <c r="Q356" s="156">
        <f>H356</f>
        <v>7.79</v>
      </c>
      <c r="R356" s="31"/>
      <c r="S356" s="31"/>
      <c r="T356" s="31"/>
      <c r="U356" s="31"/>
      <c r="V356" s="31"/>
      <c r="W356" s="1"/>
    </row>
    <row r="357" spans="1:23" ht="14.4" x14ac:dyDescent="0.25">
      <c r="A357" s="150"/>
      <c r="B357" s="15" t="s">
        <v>294</v>
      </c>
      <c r="C357" s="73">
        <v>32.950000000000003</v>
      </c>
      <c r="D357" s="131">
        <v>30.61</v>
      </c>
      <c r="E357" s="33">
        <v>1</v>
      </c>
      <c r="F357" s="29"/>
      <c r="G357" s="30"/>
      <c r="H357" s="30">
        <f t="shared" si="98"/>
        <v>32.950000000000003</v>
      </c>
      <c r="I357" s="156"/>
      <c r="J357" s="156"/>
      <c r="K357" s="156"/>
      <c r="L357" s="156"/>
      <c r="M357" s="156"/>
      <c r="N357" s="156"/>
      <c r="O357" s="156"/>
      <c r="P357" s="156"/>
      <c r="Q357" s="156"/>
      <c r="R357" s="31"/>
      <c r="S357" s="31">
        <f t="shared" ref="S357:S361" si="101">H357</f>
        <v>32.950000000000003</v>
      </c>
      <c r="T357" s="31"/>
      <c r="U357" s="31"/>
      <c r="V357" s="31"/>
      <c r="W357" s="1"/>
    </row>
    <row r="358" spans="1:23" ht="14.4" x14ac:dyDescent="0.25">
      <c r="A358" s="150"/>
      <c r="B358" s="15" t="s">
        <v>290</v>
      </c>
      <c r="C358" s="73">
        <v>26.13</v>
      </c>
      <c r="D358" s="131">
        <v>21.93</v>
      </c>
      <c r="E358" s="33">
        <v>1</v>
      </c>
      <c r="F358" s="29"/>
      <c r="G358" s="30"/>
      <c r="H358" s="30">
        <f t="shared" si="98"/>
        <v>26.13</v>
      </c>
      <c r="I358" s="156"/>
      <c r="J358" s="156"/>
      <c r="K358" s="156"/>
      <c r="L358" s="156"/>
      <c r="M358" s="156"/>
      <c r="N358" s="156"/>
      <c r="O358" s="156"/>
      <c r="P358" s="156"/>
      <c r="Q358" s="156"/>
      <c r="R358" s="31"/>
      <c r="S358" s="31">
        <f t="shared" si="101"/>
        <v>26.13</v>
      </c>
      <c r="T358" s="31"/>
      <c r="U358" s="31"/>
      <c r="V358" s="31"/>
      <c r="W358" s="1"/>
    </row>
    <row r="359" spans="1:23" ht="14.4" x14ac:dyDescent="0.25">
      <c r="A359" s="150"/>
      <c r="B359" s="15" t="s">
        <v>291</v>
      </c>
      <c r="C359" s="73">
        <v>24.71</v>
      </c>
      <c r="D359" s="131">
        <v>21.68</v>
      </c>
      <c r="E359" s="33">
        <v>1</v>
      </c>
      <c r="F359" s="29"/>
      <c r="G359" s="30"/>
      <c r="H359" s="30">
        <f t="shared" ref="H359:H362" si="102">C359*E359</f>
        <v>24.71</v>
      </c>
      <c r="I359" s="156"/>
      <c r="J359" s="156"/>
      <c r="K359" s="156"/>
      <c r="L359" s="156"/>
      <c r="M359" s="156"/>
      <c r="N359" s="156"/>
      <c r="O359" s="156"/>
      <c r="P359" s="156"/>
      <c r="Q359" s="156"/>
      <c r="R359" s="31"/>
      <c r="S359" s="31">
        <f t="shared" si="101"/>
        <v>24.71</v>
      </c>
      <c r="T359" s="31"/>
      <c r="U359" s="31"/>
      <c r="V359" s="31"/>
      <c r="W359" s="1"/>
    </row>
    <row r="360" spans="1:23" ht="14.4" x14ac:dyDescent="0.25">
      <c r="A360" s="150"/>
      <c r="B360" s="15" t="s">
        <v>292</v>
      </c>
      <c r="C360" s="73">
        <v>21.07</v>
      </c>
      <c r="D360" s="131">
        <v>19.38</v>
      </c>
      <c r="E360" s="33">
        <v>1</v>
      </c>
      <c r="F360" s="29"/>
      <c r="G360" s="30"/>
      <c r="H360" s="30">
        <f t="shared" si="102"/>
        <v>21.07</v>
      </c>
      <c r="I360" s="156"/>
      <c r="J360" s="156"/>
      <c r="K360" s="156"/>
      <c r="L360" s="156"/>
      <c r="M360" s="156"/>
      <c r="N360" s="156"/>
      <c r="O360" s="156"/>
      <c r="P360" s="156"/>
      <c r="Q360" s="156"/>
      <c r="R360" s="31"/>
      <c r="S360" s="31">
        <f t="shared" si="101"/>
        <v>21.07</v>
      </c>
      <c r="T360" s="31"/>
      <c r="U360" s="31"/>
      <c r="V360" s="31"/>
      <c r="W360" s="1"/>
    </row>
    <row r="361" spans="1:23" ht="14.4" x14ac:dyDescent="0.25">
      <c r="A361" s="150"/>
      <c r="B361" s="15" t="s">
        <v>293</v>
      </c>
      <c r="C361" s="73">
        <v>23.85</v>
      </c>
      <c r="D361" s="131">
        <v>22.39</v>
      </c>
      <c r="E361" s="33">
        <v>1</v>
      </c>
      <c r="F361" s="29"/>
      <c r="G361" s="30"/>
      <c r="H361" s="30">
        <f t="shared" si="102"/>
        <v>23.85</v>
      </c>
      <c r="I361" s="156"/>
      <c r="J361" s="156"/>
      <c r="K361" s="156"/>
      <c r="L361" s="156"/>
      <c r="M361" s="156"/>
      <c r="N361" s="156"/>
      <c r="O361" s="156"/>
      <c r="P361" s="156"/>
      <c r="Q361" s="156"/>
      <c r="R361" s="31"/>
      <c r="S361" s="31">
        <f t="shared" si="101"/>
        <v>23.85</v>
      </c>
      <c r="T361" s="31"/>
      <c r="U361" s="31"/>
      <c r="V361" s="31"/>
      <c r="W361" s="1"/>
    </row>
    <row r="362" spans="1:23" ht="14.4" x14ac:dyDescent="0.25">
      <c r="A362" s="150"/>
      <c r="B362" s="15" t="s">
        <v>213</v>
      </c>
      <c r="C362" s="73">
        <v>6.34</v>
      </c>
      <c r="D362" s="131">
        <v>10.89</v>
      </c>
      <c r="E362" s="33">
        <v>1</v>
      </c>
      <c r="F362" s="29"/>
      <c r="G362" s="30"/>
      <c r="H362" s="30">
        <f t="shared" si="102"/>
        <v>6.34</v>
      </c>
      <c r="I362" s="156"/>
      <c r="J362" s="156"/>
      <c r="K362" s="156"/>
      <c r="L362" s="156"/>
      <c r="M362" s="156"/>
      <c r="N362" s="156"/>
      <c r="O362" s="156"/>
      <c r="P362" s="156"/>
      <c r="Q362" s="156"/>
      <c r="R362" s="31">
        <f>H362</f>
        <v>6.34</v>
      </c>
      <c r="S362" s="31"/>
      <c r="T362" s="31"/>
      <c r="U362" s="31"/>
      <c r="V362" s="31">
        <f>D362*E362</f>
        <v>10.89</v>
      </c>
      <c r="W362" s="1"/>
    </row>
    <row r="363" spans="1:23" ht="19.95" customHeight="1" x14ac:dyDescent="0.25">
      <c r="B363" s="128" t="s">
        <v>22</v>
      </c>
      <c r="C363" s="129">
        <f>SUM(C300:C362)</f>
        <v>739.93000000000018</v>
      </c>
      <c r="D363" s="129"/>
      <c r="E363" s="129"/>
      <c r="F363" s="129"/>
      <c r="G363" s="129">
        <f t="shared" ref="G363:V363" si="103">SUM(G300:G362)</f>
        <v>0</v>
      </c>
      <c r="H363" s="129">
        <f t="shared" si="103"/>
        <v>771.2600000000001</v>
      </c>
      <c r="I363" s="129">
        <f t="shared" si="103"/>
        <v>0</v>
      </c>
      <c r="J363" s="129">
        <f t="shared" si="103"/>
        <v>0</v>
      </c>
      <c r="K363" s="129">
        <f t="shared" si="103"/>
        <v>0</v>
      </c>
      <c r="L363" s="129">
        <f t="shared" si="103"/>
        <v>0</v>
      </c>
      <c r="M363" s="129">
        <f t="shared" si="103"/>
        <v>0</v>
      </c>
      <c r="N363" s="129">
        <f t="shared" si="103"/>
        <v>0</v>
      </c>
      <c r="O363" s="129">
        <f t="shared" si="103"/>
        <v>0</v>
      </c>
      <c r="P363" s="129">
        <f t="shared" si="103"/>
        <v>16.07</v>
      </c>
      <c r="Q363" s="129">
        <f t="shared" si="103"/>
        <v>22.72</v>
      </c>
      <c r="R363" s="129">
        <f t="shared" si="103"/>
        <v>80.359999999999985</v>
      </c>
      <c r="S363" s="129">
        <f t="shared" si="103"/>
        <v>655.69000000000017</v>
      </c>
      <c r="T363" s="129">
        <f t="shared" si="103"/>
        <v>0</v>
      </c>
      <c r="U363" s="129">
        <f t="shared" si="103"/>
        <v>175.78</v>
      </c>
      <c r="V363" s="129">
        <f t="shared" si="103"/>
        <v>160.04000000000002</v>
      </c>
      <c r="W363" s="1"/>
    </row>
    <row r="364" spans="1:23" ht="19.95" customHeight="1" x14ac:dyDescent="0.25">
      <c r="B364" s="267"/>
      <c r="C364" s="265"/>
      <c r="D364" s="266"/>
      <c r="E364" s="129"/>
      <c r="F364" s="129"/>
      <c r="G364" s="129"/>
      <c r="H364" s="129"/>
      <c r="I364" s="141">
        <v>7</v>
      </c>
      <c r="J364" s="141">
        <v>8</v>
      </c>
      <c r="K364" s="141">
        <v>9</v>
      </c>
      <c r="L364" s="141">
        <v>12</v>
      </c>
      <c r="M364" s="141">
        <v>13</v>
      </c>
      <c r="N364" s="141">
        <v>14</v>
      </c>
      <c r="O364" s="224">
        <v>5</v>
      </c>
      <c r="P364" s="224">
        <v>4</v>
      </c>
      <c r="Q364" s="224">
        <v>2</v>
      </c>
      <c r="R364" s="224">
        <v>3</v>
      </c>
      <c r="S364" s="224">
        <v>1</v>
      </c>
      <c r="T364" s="224">
        <v>5</v>
      </c>
      <c r="U364" s="224">
        <v>1</v>
      </c>
      <c r="V364" s="224">
        <v>3</v>
      </c>
      <c r="W364" s="1"/>
    </row>
    <row r="365" spans="1:23" ht="61.95" customHeight="1" x14ac:dyDescent="0.25">
      <c r="B365" s="852" t="s">
        <v>16</v>
      </c>
      <c r="C365" s="838" t="s">
        <v>17</v>
      </c>
      <c r="D365" s="839" t="s">
        <v>18</v>
      </c>
      <c r="E365" s="842" t="s">
        <v>19</v>
      </c>
      <c r="F365" s="842" t="s">
        <v>13</v>
      </c>
      <c r="G365" s="842" t="s">
        <v>20</v>
      </c>
      <c r="H365" s="842" t="s">
        <v>21</v>
      </c>
      <c r="I365" s="853" t="s">
        <v>883</v>
      </c>
      <c r="J365" s="846" t="s">
        <v>867</v>
      </c>
      <c r="K365" s="855" t="s">
        <v>865</v>
      </c>
      <c r="L365" s="857" t="s">
        <v>881</v>
      </c>
      <c r="M365" s="859" t="s">
        <v>882</v>
      </c>
      <c r="N365" s="846" t="s">
        <v>870</v>
      </c>
      <c r="O365" s="838" t="s">
        <v>81</v>
      </c>
      <c r="P365" s="838" t="s">
        <v>80</v>
      </c>
      <c r="Q365" s="838" t="s">
        <v>70</v>
      </c>
      <c r="R365" s="838" t="s">
        <v>79</v>
      </c>
      <c r="S365" s="838" t="s">
        <v>78</v>
      </c>
      <c r="T365" s="848" t="s">
        <v>75</v>
      </c>
      <c r="U365" s="848" t="s">
        <v>71</v>
      </c>
      <c r="V365" s="850" t="s">
        <v>74</v>
      </c>
      <c r="W365" s="1"/>
    </row>
    <row r="366" spans="1:23" ht="61.95" customHeight="1" x14ac:dyDescent="0.25">
      <c r="B366" s="843"/>
      <c r="C366" s="842"/>
      <c r="D366" s="838"/>
      <c r="E366" s="842"/>
      <c r="F366" s="842"/>
      <c r="G366" s="842"/>
      <c r="H366" s="842"/>
      <c r="I366" s="854"/>
      <c r="J366" s="847"/>
      <c r="K366" s="856"/>
      <c r="L366" s="858"/>
      <c r="M366" s="860"/>
      <c r="N366" s="847"/>
      <c r="O366" s="839"/>
      <c r="P366" s="839"/>
      <c r="Q366" s="839"/>
      <c r="R366" s="839"/>
      <c r="S366" s="839"/>
      <c r="T366" s="849"/>
      <c r="U366" s="849"/>
      <c r="V366" s="851"/>
      <c r="W366" s="1"/>
    </row>
    <row r="367" spans="1:23" ht="15.6" x14ac:dyDescent="0.25">
      <c r="A367" s="141" t="s">
        <v>67</v>
      </c>
      <c r="B367" s="59" t="s">
        <v>62</v>
      </c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1"/>
    </row>
    <row r="368" spans="1:23" ht="14.4" x14ac:dyDescent="0.25">
      <c r="A368" s="559"/>
      <c r="B368" s="220" t="s">
        <v>168</v>
      </c>
      <c r="C368" s="603">
        <v>11.67</v>
      </c>
      <c r="D368" s="576">
        <v>14.83</v>
      </c>
      <c r="E368" s="33">
        <v>1</v>
      </c>
      <c r="F368" s="574"/>
      <c r="G368" s="574"/>
      <c r="H368" s="30">
        <f t="shared" ref="H368:H371" si="104">C368*E368</f>
        <v>11.67</v>
      </c>
      <c r="I368" s="30"/>
      <c r="J368" s="30"/>
      <c r="K368" s="30"/>
      <c r="L368" s="30"/>
      <c r="M368" s="30"/>
      <c r="N368" s="30"/>
      <c r="O368" s="574"/>
      <c r="P368" s="574"/>
      <c r="Q368" s="574"/>
      <c r="R368" s="574"/>
      <c r="S368" s="578">
        <f>H368</f>
        <v>11.67</v>
      </c>
      <c r="T368" s="574"/>
      <c r="U368" s="576">
        <f>D368*E368</f>
        <v>14.83</v>
      </c>
      <c r="V368" s="574"/>
      <c r="W368" s="1"/>
    </row>
    <row r="369" spans="1:23" ht="14.4" x14ac:dyDescent="0.25">
      <c r="A369" s="559"/>
      <c r="B369" s="220" t="s">
        <v>258</v>
      </c>
      <c r="C369" s="603">
        <v>33.630000000000003</v>
      </c>
      <c r="D369" s="576">
        <v>31.16</v>
      </c>
      <c r="E369" s="33">
        <v>1</v>
      </c>
      <c r="F369" s="574"/>
      <c r="G369" s="574"/>
      <c r="H369" s="30">
        <f t="shared" si="104"/>
        <v>33.630000000000003</v>
      </c>
      <c r="I369" s="30"/>
      <c r="J369" s="30"/>
      <c r="K369" s="30"/>
      <c r="L369" s="30"/>
      <c r="M369" s="30"/>
      <c r="N369" s="30"/>
      <c r="O369" s="574"/>
      <c r="P369" s="574"/>
      <c r="Q369" s="574"/>
      <c r="R369" s="574"/>
      <c r="S369" s="578">
        <f>H369</f>
        <v>33.630000000000003</v>
      </c>
      <c r="T369" s="574"/>
      <c r="U369" s="576">
        <f>D369*E369</f>
        <v>31.16</v>
      </c>
      <c r="V369" s="574"/>
      <c r="W369" s="1"/>
    </row>
    <row r="370" spans="1:23" ht="14.4" x14ac:dyDescent="0.25">
      <c r="A370" s="559"/>
      <c r="B370" s="157" t="s">
        <v>346</v>
      </c>
      <c r="C370" s="566">
        <v>43.48</v>
      </c>
      <c r="D370" s="576">
        <v>27.85</v>
      </c>
      <c r="E370" s="33">
        <v>1</v>
      </c>
      <c r="F370" s="574"/>
      <c r="G370" s="574"/>
      <c r="H370" s="30">
        <f t="shared" si="104"/>
        <v>43.48</v>
      </c>
      <c r="I370" s="30"/>
      <c r="J370" s="30"/>
      <c r="K370" s="30"/>
      <c r="L370" s="30"/>
      <c r="M370" s="30"/>
      <c r="N370" s="30"/>
      <c r="O370" s="574"/>
      <c r="P370" s="578">
        <f>H370</f>
        <v>43.48</v>
      </c>
      <c r="Q370" s="574"/>
      <c r="R370" s="574"/>
      <c r="S370" s="574"/>
      <c r="T370" s="574"/>
      <c r="U370" s="574"/>
      <c r="V370" s="574"/>
      <c r="W370" s="1"/>
    </row>
    <row r="371" spans="1:23" ht="14.4" x14ac:dyDescent="0.25">
      <c r="A371" s="559"/>
      <c r="B371" s="157"/>
      <c r="C371" s="566">
        <v>9.35</v>
      </c>
      <c r="D371" s="576"/>
      <c r="E371" s="33">
        <v>1</v>
      </c>
      <c r="F371" s="574"/>
      <c r="G371" s="574"/>
      <c r="H371" s="30">
        <f t="shared" si="104"/>
        <v>9.35</v>
      </c>
      <c r="I371" s="30"/>
      <c r="J371" s="30"/>
      <c r="K371" s="30"/>
      <c r="L371" s="30"/>
      <c r="M371" s="30"/>
      <c r="N371" s="30"/>
      <c r="O371" s="574"/>
      <c r="P371" s="578">
        <f>H371</f>
        <v>9.35</v>
      </c>
      <c r="Q371" s="574"/>
      <c r="R371" s="574"/>
      <c r="S371" s="574"/>
      <c r="T371" s="574"/>
      <c r="U371" s="574"/>
      <c r="V371" s="574"/>
      <c r="W371" s="1"/>
    </row>
    <row r="372" spans="1:23" ht="14.4" x14ac:dyDescent="0.25">
      <c r="A372" s="559"/>
      <c r="B372" s="157" t="s">
        <v>724</v>
      </c>
      <c r="C372" s="566">
        <v>7.45</v>
      </c>
      <c r="D372" s="576">
        <v>10.93</v>
      </c>
      <c r="E372" s="33">
        <v>1</v>
      </c>
      <c r="F372" s="574"/>
      <c r="G372" s="574"/>
      <c r="H372" s="574"/>
      <c r="I372" s="574"/>
      <c r="J372" s="574"/>
      <c r="K372" s="574"/>
      <c r="L372" s="574"/>
      <c r="M372" s="574"/>
      <c r="N372" s="574"/>
      <c r="O372" s="574"/>
      <c r="P372" s="574"/>
      <c r="Q372" s="574"/>
      <c r="R372" s="574"/>
      <c r="S372" s="574"/>
      <c r="T372" s="574"/>
      <c r="U372" s="574"/>
      <c r="V372" s="574"/>
      <c r="W372" s="1"/>
    </row>
    <row r="373" spans="1:23" ht="14.4" x14ac:dyDescent="0.25">
      <c r="A373" s="559"/>
      <c r="B373" s="157" t="s">
        <v>725</v>
      </c>
      <c r="C373" s="566">
        <v>8.23</v>
      </c>
      <c r="D373" s="576">
        <v>11.56</v>
      </c>
      <c r="E373" s="33">
        <v>1</v>
      </c>
      <c r="F373" s="574"/>
      <c r="G373" s="574"/>
      <c r="H373" s="574"/>
      <c r="I373" s="574"/>
      <c r="J373" s="574"/>
      <c r="K373" s="574"/>
      <c r="L373" s="574"/>
      <c r="M373" s="574"/>
      <c r="N373" s="574"/>
      <c r="O373" s="574"/>
      <c r="P373" s="574"/>
      <c r="Q373" s="574"/>
      <c r="R373" s="574"/>
      <c r="S373" s="574"/>
      <c r="T373" s="574"/>
      <c r="U373" s="574"/>
      <c r="V373" s="574"/>
      <c r="W373" s="1"/>
    </row>
    <row r="374" spans="1:23" ht="14.4" x14ac:dyDescent="0.25">
      <c r="A374" s="563"/>
      <c r="B374" s="157" t="s">
        <v>726</v>
      </c>
      <c r="C374" s="186">
        <v>3.9</v>
      </c>
      <c r="D374" s="576">
        <v>8.33</v>
      </c>
      <c r="E374" s="33">
        <v>1</v>
      </c>
      <c r="F374" s="574"/>
      <c r="G374" s="574"/>
      <c r="H374" s="574"/>
      <c r="I374" s="574"/>
      <c r="J374" s="574"/>
      <c r="K374" s="574"/>
      <c r="L374" s="574"/>
      <c r="M374" s="574"/>
      <c r="N374" s="574"/>
      <c r="O374" s="574"/>
      <c r="P374" s="574"/>
      <c r="Q374" s="574"/>
      <c r="R374" s="574"/>
      <c r="S374" s="574"/>
      <c r="T374" s="574"/>
      <c r="U374" s="574"/>
      <c r="V374" s="574"/>
      <c r="W374" s="1"/>
    </row>
    <row r="375" spans="1:23" ht="14.4" x14ac:dyDescent="0.25">
      <c r="A375" s="150"/>
      <c r="B375" s="220" t="s">
        <v>295</v>
      </c>
      <c r="C375" s="222">
        <v>26.2</v>
      </c>
      <c r="D375" s="131">
        <v>23.96</v>
      </c>
      <c r="E375" s="33">
        <v>1</v>
      </c>
      <c r="F375" s="29"/>
      <c r="G375" s="30"/>
      <c r="H375" s="30">
        <f t="shared" ref="H375:H426" si="105">C375*E375</f>
        <v>26.2</v>
      </c>
      <c r="I375" s="156"/>
      <c r="J375" s="156"/>
      <c r="K375" s="156"/>
      <c r="L375" s="156"/>
      <c r="M375" s="156"/>
      <c r="N375" s="156"/>
      <c r="O375" s="156"/>
      <c r="P375" s="156"/>
      <c r="Q375" s="156"/>
      <c r="R375" s="31"/>
      <c r="S375" s="31">
        <f>H375</f>
        <v>26.2</v>
      </c>
      <c r="T375" s="31"/>
      <c r="U375" s="31">
        <f t="shared" ref="U375:U423" si="106">D375*E375</f>
        <v>23.96</v>
      </c>
      <c r="V375" s="31"/>
      <c r="W375" s="1"/>
    </row>
    <row r="376" spans="1:23" ht="14.4" x14ac:dyDescent="0.25">
      <c r="A376" s="150"/>
      <c r="B376" s="15" t="s">
        <v>229</v>
      </c>
      <c r="C376" s="73">
        <v>0.45</v>
      </c>
      <c r="D376" s="131">
        <v>3.86</v>
      </c>
      <c r="E376" s="33">
        <v>1</v>
      </c>
      <c r="F376" s="29"/>
      <c r="G376" s="30"/>
      <c r="H376" s="30"/>
      <c r="I376" s="156"/>
      <c r="J376" s="156"/>
      <c r="K376" s="156"/>
      <c r="L376" s="156"/>
      <c r="M376" s="156"/>
      <c r="N376" s="156"/>
      <c r="O376" s="156"/>
      <c r="P376" s="156"/>
      <c r="Q376" s="156"/>
      <c r="R376" s="31"/>
      <c r="S376" s="31"/>
      <c r="T376" s="31"/>
      <c r="U376" s="31"/>
      <c r="V376" s="31"/>
      <c r="W376" s="1"/>
    </row>
    <row r="377" spans="1:23" ht="14.4" x14ac:dyDescent="0.25">
      <c r="A377" s="150"/>
      <c r="B377" s="15" t="s">
        <v>296</v>
      </c>
      <c r="C377" s="73">
        <v>1.63</v>
      </c>
      <c r="D377" s="131">
        <v>5.41</v>
      </c>
      <c r="E377" s="33">
        <v>1</v>
      </c>
      <c r="F377" s="29"/>
      <c r="G377" s="30"/>
      <c r="H377" s="30">
        <f t="shared" si="105"/>
        <v>1.63</v>
      </c>
      <c r="I377" s="156"/>
      <c r="J377" s="156"/>
      <c r="K377" s="156"/>
      <c r="L377" s="156"/>
      <c r="M377" s="156"/>
      <c r="N377" s="156"/>
      <c r="O377" s="156"/>
      <c r="P377" s="156">
        <f>C377*E377</f>
        <v>1.63</v>
      </c>
      <c r="Q377" s="156"/>
      <c r="R377" s="31"/>
      <c r="S377" s="31"/>
      <c r="T377" s="31"/>
      <c r="U377" s="31">
        <f t="shared" si="106"/>
        <v>5.41</v>
      </c>
      <c r="V377" s="31"/>
      <c r="W377" s="1"/>
    </row>
    <row r="378" spans="1:23" ht="14.4" x14ac:dyDescent="0.25">
      <c r="A378" s="150"/>
      <c r="B378" s="15" t="s">
        <v>229</v>
      </c>
      <c r="C378" s="73">
        <v>3.03</v>
      </c>
      <c r="D378" s="131">
        <v>8.51</v>
      </c>
      <c r="E378" s="33">
        <v>1</v>
      </c>
      <c r="F378" s="29"/>
      <c r="G378" s="30"/>
      <c r="H378" s="30"/>
      <c r="I378" s="156"/>
      <c r="J378" s="156"/>
      <c r="K378" s="156"/>
      <c r="L378" s="156"/>
      <c r="M378" s="156"/>
      <c r="N378" s="156"/>
      <c r="O378" s="156"/>
      <c r="P378" s="156"/>
      <c r="Q378" s="156"/>
      <c r="R378" s="31"/>
      <c r="S378" s="31"/>
      <c r="T378" s="31"/>
      <c r="U378" s="31"/>
      <c r="V378" s="31"/>
      <c r="W378" s="1"/>
    </row>
    <row r="379" spans="1:23" ht="14.4" x14ac:dyDescent="0.25">
      <c r="A379" s="150"/>
      <c r="B379" s="220" t="s">
        <v>297</v>
      </c>
      <c r="C379" s="222">
        <v>34.4</v>
      </c>
      <c r="D379" s="131">
        <v>19.840000000000003</v>
      </c>
      <c r="E379" s="33">
        <v>1</v>
      </c>
      <c r="F379" s="29"/>
      <c r="G379" s="30"/>
      <c r="H379" s="30">
        <f t="shared" si="105"/>
        <v>34.4</v>
      </c>
      <c r="I379" s="156"/>
      <c r="J379" s="156"/>
      <c r="K379" s="156"/>
      <c r="L379" s="156"/>
      <c r="M379" s="156"/>
      <c r="N379" s="156"/>
      <c r="O379" s="156"/>
      <c r="P379" s="156"/>
      <c r="Q379" s="156"/>
      <c r="R379" s="31"/>
      <c r="S379" s="31">
        <f t="shared" ref="S379:S411" si="107">H379</f>
        <v>34.4</v>
      </c>
      <c r="T379" s="31"/>
      <c r="U379" s="31">
        <f t="shared" si="106"/>
        <v>19.840000000000003</v>
      </c>
      <c r="V379" s="31"/>
      <c r="W379" s="1"/>
    </row>
    <row r="380" spans="1:23" ht="14.4" x14ac:dyDescent="0.25">
      <c r="A380" s="150"/>
      <c r="B380" s="15" t="s">
        <v>229</v>
      </c>
      <c r="C380" s="73">
        <v>1.1000000000000001</v>
      </c>
      <c r="D380" s="131">
        <v>7.44</v>
      </c>
      <c r="E380" s="33">
        <v>1</v>
      </c>
      <c r="F380" s="29"/>
      <c r="G380" s="30"/>
      <c r="H380" s="30"/>
      <c r="I380" s="156"/>
      <c r="J380" s="156"/>
      <c r="K380" s="156"/>
      <c r="L380" s="156"/>
      <c r="M380" s="156"/>
      <c r="N380" s="156"/>
      <c r="O380" s="156"/>
      <c r="P380" s="156"/>
      <c r="Q380" s="156"/>
      <c r="R380" s="31"/>
      <c r="S380" s="31"/>
      <c r="T380" s="31"/>
      <c r="U380" s="31"/>
      <c r="V380" s="31"/>
      <c r="W380" s="1"/>
    </row>
    <row r="381" spans="1:23" ht="14.4" x14ac:dyDescent="0.25">
      <c r="A381" s="150"/>
      <c r="B381" s="220" t="s">
        <v>168</v>
      </c>
      <c r="C381" s="222">
        <v>28.2</v>
      </c>
      <c r="D381" s="131">
        <v>35.880000000000003</v>
      </c>
      <c r="E381" s="33">
        <v>1</v>
      </c>
      <c r="F381" s="29"/>
      <c r="G381" s="30"/>
      <c r="H381" s="30">
        <f t="shared" si="105"/>
        <v>28.2</v>
      </c>
      <c r="I381" s="156"/>
      <c r="J381" s="156"/>
      <c r="K381" s="156"/>
      <c r="L381" s="156"/>
      <c r="M381" s="156">
        <f>H381</f>
        <v>28.2</v>
      </c>
      <c r="N381" s="156"/>
      <c r="O381" s="156"/>
      <c r="P381" s="156"/>
      <c r="Q381" s="156"/>
      <c r="R381" s="31"/>
      <c r="S381" s="31"/>
      <c r="T381" s="31"/>
      <c r="U381" s="31"/>
      <c r="V381" s="31"/>
      <c r="W381" s="1"/>
    </row>
    <row r="382" spans="1:23" ht="14.4" x14ac:dyDescent="0.25">
      <c r="A382" s="150"/>
      <c r="B382" s="220" t="s">
        <v>168</v>
      </c>
      <c r="C382" s="222">
        <v>34.229999999999997</v>
      </c>
      <c r="D382" s="131">
        <v>27.08</v>
      </c>
      <c r="E382" s="33">
        <v>1</v>
      </c>
      <c r="F382" s="29"/>
      <c r="G382" s="30"/>
      <c r="H382" s="30">
        <f t="shared" si="105"/>
        <v>34.229999999999997</v>
      </c>
      <c r="I382" s="156"/>
      <c r="J382" s="156"/>
      <c r="K382" s="156"/>
      <c r="L382" s="156"/>
      <c r="M382" s="156"/>
      <c r="N382" s="156"/>
      <c r="O382" s="156"/>
      <c r="P382" s="156"/>
      <c r="Q382" s="156"/>
      <c r="R382" s="31"/>
      <c r="S382" s="31">
        <f t="shared" si="107"/>
        <v>34.229999999999997</v>
      </c>
      <c r="T382" s="31"/>
      <c r="U382" s="31">
        <f t="shared" si="106"/>
        <v>27.08</v>
      </c>
      <c r="V382" s="31"/>
      <c r="W382" s="1"/>
    </row>
    <row r="383" spans="1:23" ht="14.4" x14ac:dyDescent="0.25">
      <c r="A383" s="150"/>
      <c r="B383" s="15" t="s">
        <v>253</v>
      </c>
      <c r="C383" s="73">
        <v>11.48</v>
      </c>
      <c r="D383" s="131">
        <v>14.78</v>
      </c>
      <c r="E383" s="33">
        <v>1</v>
      </c>
      <c r="F383" s="29"/>
      <c r="G383" s="30"/>
      <c r="H383" s="30">
        <f t="shared" si="105"/>
        <v>11.48</v>
      </c>
      <c r="I383" s="156"/>
      <c r="J383" s="156"/>
      <c r="K383" s="156"/>
      <c r="L383" s="156"/>
      <c r="M383" s="156">
        <f>H383</f>
        <v>11.48</v>
      </c>
      <c r="N383" s="156"/>
      <c r="O383" s="156"/>
      <c r="P383" s="156"/>
      <c r="Q383" s="156"/>
      <c r="R383" s="31"/>
      <c r="S383" s="31"/>
      <c r="T383" s="31"/>
      <c r="U383" s="31"/>
      <c r="V383" s="31"/>
      <c r="W383" s="1"/>
    </row>
    <row r="384" spans="1:23" ht="14.4" x14ac:dyDescent="0.25">
      <c r="A384" s="150"/>
      <c r="B384" s="15" t="s">
        <v>298</v>
      </c>
      <c r="C384" s="73">
        <v>2.92</v>
      </c>
      <c r="D384" s="131">
        <v>7.09</v>
      </c>
      <c r="E384" s="33">
        <v>1</v>
      </c>
      <c r="F384" s="29"/>
      <c r="G384" s="30"/>
      <c r="H384" s="30">
        <f t="shared" si="105"/>
        <v>2.92</v>
      </c>
      <c r="I384" s="156"/>
      <c r="J384" s="156"/>
      <c r="K384" s="156"/>
      <c r="L384" s="156"/>
      <c r="M384" s="156"/>
      <c r="N384" s="156"/>
      <c r="O384" s="156"/>
      <c r="P384" s="156"/>
      <c r="Q384" s="156"/>
      <c r="R384" s="31">
        <f>H384</f>
        <v>2.92</v>
      </c>
      <c r="S384" s="31"/>
      <c r="T384" s="31"/>
      <c r="U384" s="31"/>
      <c r="V384" s="31">
        <f>D384*E384</f>
        <v>7.09</v>
      </c>
      <c r="W384" s="1"/>
    </row>
    <row r="385" spans="1:23" ht="14.4" x14ac:dyDescent="0.25">
      <c r="A385" s="150"/>
      <c r="B385" s="15" t="s">
        <v>254</v>
      </c>
      <c r="C385" s="73">
        <v>11.62</v>
      </c>
      <c r="D385" s="131">
        <v>14.78</v>
      </c>
      <c r="E385" s="33">
        <v>1</v>
      </c>
      <c r="F385" s="29"/>
      <c r="G385" s="30"/>
      <c r="H385" s="30">
        <f t="shared" si="105"/>
        <v>11.62</v>
      </c>
      <c r="I385" s="156"/>
      <c r="J385" s="156"/>
      <c r="K385" s="156"/>
      <c r="L385" s="156"/>
      <c r="M385" s="156">
        <f>H385</f>
        <v>11.62</v>
      </c>
      <c r="N385" s="156"/>
      <c r="O385" s="156"/>
      <c r="P385" s="156"/>
      <c r="Q385" s="156"/>
      <c r="R385" s="31"/>
      <c r="S385" s="31"/>
      <c r="T385" s="31"/>
      <c r="U385" s="31"/>
      <c r="V385" s="31"/>
      <c r="W385" s="1"/>
    </row>
    <row r="386" spans="1:23" ht="14.4" x14ac:dyDescent="0.25">
      <c r="A386" s="150"/>
      <c r="B386" s="15" t="s">
        <v>299</v>
      </c>
      <c r="C386" s="73">
        <v>4.49</v>
      </c>
      <c r="D386" s="131">
        <v>8.49</v>
      </c>
      <c r="E386" s="33">
        <v>1</v>
      </c>
      <c r="F386" s="29"/>
      <c r="G386" s="30"/>
      <c r="H386" s="30">
        <f t="shared" si="105"/>
        <v>4.49</v>
      </c>
      <c r="I386" s="156"/>
      <c r="J386" s="156"/>
      <c r="K386" s="156"/>
      <c r="L386" s="156"/>
      <c r="M386" s="156"/>
      <c r="N386" s="156"/>
      <c r="O386" s="156"/>
      <c r="P386" s="156"/>
      <c r="Q386" s="156"/>
      <c r="R386" s="31"/>
      <c r="S386" s="31">
        <f t="shared" si="107"/>
        <v>4.49</v>
      </c>
      <c r="T386" s="31"/>
      <c r="U386" s="31">
        <f t="shared" si="106"/>
        <v>8.49</v>
      </c>
      <c r="V386" s="31"/>
      <c r="W386" s="1"/>
    </row>
    <row r="387" spans="1:23" ht="14.4" x14ac:dyDescent="0.25">
      <c r="A387" s="150"/>
      <c r="B387" s="15" t="s">
        <v>300</v>
      </c>
      <c r="C387" s="73">
        <v>8.07</v>
      </c>
      <c r="D387" s="131">
        <v>14.71</v>
      </c>
      <c r="E387" s="33">
        <v>1</v>
      </c>
      <c r="F387" s="29"/>
      <c r="G387" s="30"/>
      <c r="H387" s="30">
        <f t="shared" si="105"/>
        <v>8.07</v>
      </c>
      <c r="I387" s="156"/>
      <c r="J387" s="156"/>
      <c r="K387" s="156"/>
      <c r="L387" s="156"/>
      <c r="M387" s="156">
        <f>H387</f>
        <v>8.07</v>
      </c>
      <c r="N387" s="156"/>
      <c r="O387" s="156"/>
      <c r="P387" s="156"/>
      <c r="Q387" s="156"/>
      <c r="R387" s="31"/>
      <c r="S387" s="31"/>
      <c r="T387" s="31"/>
      <c r="U387" s="31"/>
      <c r="V387" s="31"/>
      <c r="W387" s="1"/>
    </row>
    <row r="388" spans="1:23" ht="14.4" x14ac:dyDescent="0.25">
      <c r="A388" s="150"/>
      <c r="B388" s="15" t="s">
        <v>301</v>
      </c>
      <c r="C388" s="73">
        <v>14.21</v>
      </c>
      <c r="D388" s="131">
        <v>15.69</v>
      </c>
      <c r="E388" s="33">
        <v>1</v>
      </c>
      <c r="F388" s="29"/>
      <c r="G388" s="30"/>
      <c r="H388" s="30">
        <f t="shared" si="105"/>
        <v>14.21</v>
      </c>
      <c r="I388" s="156"/>
      <c r="J388" s="156"/>
      <c r="K388" s="156"/>
      <c r="L388" s="156"/>
      <c r="M388" s="156">
        <f>H388</f>
        <v>14.21</v>
      </c>
      <c r="N388" s="156"/>
      <c r="O388" s="156"/>
      <c r="P388" s="156"/>
      <c r="Q388" s="156"/>
      <c r="R388" s="31"/>
      <c r="S388" s="31"/>
      <c r="T388" s="31"/>
      <c r="U388" s="31"/>
      <c r="V388" s="31"/>
      <c r="W388" s="1"/>
    </row>
    <row r="389" spans="1:23" ht="14.4" x14ac:dyDescent="0.25">
      <c r="A389" s="150"/>
      <c r="B389" s="15" t="s">
        <v>302</v>
      </c>
      <c r="C389" s="73">
        <v>16.25</v>
      </c>
      <c r="D389" s="131">
        <v>17.43</v>
      </c>
      <c r="E389" s="33">
        <v>1</v>
      </c>
      <c r="F389" s="29"/>
      <c r="G389" s="30"/>
      <c r="H389" s="30">
        <f t="shared" si="105"/>
        <v>16.25</v>
      </c>
      <c r="I389" s="156"/>
      <c r="J389" s="156"/>
      <c r="K389" s="156"/>
      <c r="L389" s="156"/>
      <c r="M389" s="156">
        <f>H389</f>
        <v>16.25</v>
      </c>
      <c r="N389" s="156"/>
      <c r="O389" s="156"/>
      <c r="P389" s="156"/>
      <c r="Q389" s="156"/>
      <c r="R389" s="31"/>
      <c r="S389" s="31"/>
      <c r="T389" s="31"/>
      <c r="U389" s="31"/>
      <c r="V389" s="31"/>
      <c r="W389" s="1"/>
    </row>
    <row r="390" spans="1:23" ht="14.4" x14ac:dyDescent="0.25">
      <c r="A390" s="150"/>
      <c r="B390" s="15" t="s">
        <v>303</v>
      </c>
      <c r="C390" s="73">
        <v>2.4</v>
      </c>
      <c r="D390" s="131">
        <v>6.35</v>
      </c>
      <c r="E390" s="33">
        <v>1</v>
      </c>
      <c r="F390" s="29"/>
      <c r="G390" s="30"/>
      <c r="H390" s="30">
        <f t="shared" si="105"/>
        <v>2.4</v>
      </c>
      <c r="I390" s="156"/>
      <c r="J390" s="156"/>
      <c r="K390" s="156"/>
      <c r="L390" s="156"/>
      <c r="M390" s="156"/>
      <c r="N390" s="156"/>
      <c r="O390" s="156"/>
      <c r="P390" s="156"/>
      <c r="Q390" s="156"/>
      <c r="R390" s="31">
        <f>H390</f>
        <v>2.4</v>
      </c>
      <c r="S390" s="31"/>
      <c r="T390" s="31"/>
      <c r="U390" s="31"/>
      <c r="V390" s="31">
        <f>D390*E390</f>
        <v>6.35</v>
      </c>
      <c r="W390" s="1"/>
    </row>
    <row r="391" spans="1:23" ht="14.4" x14ac:dyDescent="0.25">
      <c r="A391" s="150"/>
      <c r="B391" s="15" t="s">
        <v>158</v>
      </c>
      <c r="C391" s="73">
        <v>4.91</v>
      </c>
      <c r="D391" s="131">
        <v>9.1999999999999993</v>
      </c>
      <c r="E391" s="33">
        <v>1</v>
      </c>
      <c r="F391" s="29"/>
      <c r="G391" s="30"/>
      <c r="H391" s="30">
        <f t="shared" si="105"/>
        <v>4.91</v>
      </c>
      <c r="I391" s="156"/>
      <c r="J391" s="156"/>
      <c r="K391" s="156"/>
      <c r="L391" s="156"/>
      <c r="M391" s="156"/>
      <c r="N391" s="156"/>
      <c r="O391" s="156"/>
      <c r="P391" s="156"/>
      <c r="Q391" s="156"/>
      <c r="R391" s="31"/>
      <c r="S391" s="31">
        <f t="shared" si="107"/>
        <v>4.91</v>
      </c>
      <c r="T391" s="31"/>
      <c r="U391" s="31">
        <f t="shared" si="106"/>
        <v>9.1999999999999993</v>
      </c>
      <c r="V391" s="31"/>
      <c r="W391" s="1"/>
    </row>
    <row r="392" spans="1:23" ht="14.4" x14ac:dyDescent="0.25">
      <c r="A392" s="150"/>
      <c r="B392" s="15" t="s">
        <v>258</v>
      </c>
      <c r="C392" s="73">
        <v>4.6100000000000003</v>
      </c>
      <c r="D392" s="131">
        <v>8.6</v>
      </c>
      <c r="E392" s="33">
        <v>1</v>
      </c>
      <c r="F392" s="29"/>
      <c r="G392" s="30"/>
      <c r="H392" s="30">
        <f t="shared" si="105"/>
        <v>4.6100000000000003</v>
      </c>
      <c r="I392" s="156">
        <v>4.6100000000000003</v>
      </c>
      <c r="J392" s="156"/>
      <c r="K392" s="156"/>
      <c r="L392" s="156"/>
      <c r="M392" s="156"/>
      <c r="N392" s="156"/>
      <c r="O392" s="156"/>
      <c r="P392" s="156"/>
      <c r="Q392" s="156"/>
      <c r="R392" s="31"/>
      <c r="S392" s="31"/>
      <c r="T392" s="31"/>
      <c r="U392" s="31"/>
      <c r="V392" s="31"/>
      <c r="W392" s="1"/>
    </row>
    <row r="393" spans="1:23" ht="14.4" x14ac:dyDescent="0.25">
      <c r="A393" s="150"/>
      <c r="B393" s="15" t="s">
        <v>304</v>
      </c>
      <c r="C393" s="73">
        <v>22.38</v>
      </c>
      <c r="D393" s="131">
        <v>22.47</v>
      </c>
      <c r="E393" s="33">
        <v>1</v>
      </c>
      <c r="F393" s="29"/>
      <c r="G393" s="30"/>
      <c r="H393" s="30">
        <f t="shared" si="105"/>
        <v>22.38</v>
      </c>
      <c r="I393" s="156">
        <v>5.2</v>
      </c>
      <c r="J393" s="156"/>
      <c r="K393" s="156"/>
      <c r="L393" s="156"/>
      <c r="M393" s="156">
        <v>17.57</v>
      </c>
      <c r="N393" s="156"/>
      <c r="O393" s="156"/>
      <c r="P393" s="156"/>
      <c r="Q393" s="156"/>
      <c r="R393" s="31"/>
      <c r="S393" s="31"/>
      <c r="T393" s="31"/>
      <c r="U393" s="31"/>
      <c r="V393" s="31"/>
      <c r="W393" s="1"/>
    </row>
    <row r="394" spans="1:23" ht="14.4" x14ac:dyDescent="0.25">
      <c r="A394" s="150"/>
      <c r="B394" s="15" t="s">
        <v>213</v>
      </c>
      <c r="C394" s="73">
        <v>4.46</v>
      </c>
      <c r="D394" s="131">
        <v>8.85</v>
      </c>
      <c r="E394" s="33">
        <v>1</v>
      </c>
      <c r="F394" s="29"/>
      <c r="G394" s="30"/>
      <c r="H394" s="30">
        <f t="shared" si="105"/>
        <v>4.46</v>
      </c>
      <c r="I394" s="156"/>
      <c r="J394" s="156"/>
      <c r="K394" s="156"/>
      <c r="L394" s="156"/>
      <c r="M394" s="156"/>
      <c r="N394" s="156"/>
      <c r="O394" s="156"/>
      <c r="P394" s="156"/>
      <c r="Q394" s="156"/>
      <c r="R394" s="31">
        <f>H394</f>
        <v>4.46</v>
      </c>
      <c r="S394" s="31"/>
      <c r="T394" s="31"/>
      <c r="U394" s="31"/>
      <c r="V394" s="31">
        <f>D394*E394</f>
        <v>8.85</v>
      </c>
      <c r="W394" s="1"/>
    </row>
    <row r="395" spans="1:23" ht="14.4" x14ac:dyDescent="0.25">
      <c r="A395" s="150"/>
      <c r="B395" s="15" t="s">
        <v>213</v>
      </c>
      <c r="C395" s="73">
        <v>4.53</v>
      </c>
      <c r="D395" s="131">
        <v>8.86</v>
      </c>
      <c r="E395" s="33">
        <v>2</v>
      </c>
      <c r="F395" s="29"/>
      <c r="G395" s="30"/>
      <c r="H395" s="30">
        <f t="shared" si="105"/>
        <v>9.06</v>
      </c>
      <c r="I395" s="156"/>
      <c r="J395" s="156"/>
      <c r="K395" s="156"/>
      <c r="L395" s="156"/>
      <c r="M395" s="156"/>
      <c r="N395" s="156"/>
      <c r="O395" s="156"/>
      <c r="P395" s="156"/>
      <c r="Q395" s="156"/>
      <c r="R395" s="31">
        <f>H395</f>
        <v>9.06</v>
      </c>
      <c r="S395" s="31"/>
      <c r="T395" s="31"/>
      <c r="U395" s="31"/>
      <c r="V395" s="31">
        <f>D395*E395</f>
        <v>17.72</v>
      </c>
      <c r="W395" s="1"/>
    </row>
    <row r="396" spans="1:23" ht="14.4" x14ac:dyDescent="0.25">
      <c r="A396" s="150"/>
      <c r="B396" s="15" t="s">
        <v>305</v>
      </c>
      <c r="C396" s="73">
        <v>23.52</v>
      </c>
      <c r="D396" s="131">
        <v>22.98</v>
      </c>
      <c r="E396" s="33">
        <v>2</v>
      </c>
      <c r="F396" s="29"/>
      <c r="G396" s="30"/>
      <c r="H396" s="30">
        <f t="shared" si="105"/>
        <v>47.04</v>
      </c>
      <c r="I396" s="156">
        <v>7.24</v>
      </c>
      <c r="J396" s="156"/>
      <c r="K396" s="156"/>
      <c r="L396" s="156"/>
      <c r="M396" s="156">
        <v>41.02</v>
      </c>
      <c r="N396" s="156"/>
      <c r="O396" s="156"/>
      <c r="P396" s="156"/>
      <c r="Q396" s="156"/>
      <c r="R396" s="31"/>
      <c r="S396" s="31"/>
      <c r="T396" s="31"/>
      <c r="U396" s="31"/>
      <c r="V396" s="31"/>
      <c r="W396" s="1"/>
    </row>
    <row r="397" spans="1:23" ht="14.4" x14ac:dyDescent="0.25">
      <c r="A397" s="150"/>
      <c r="B397" s="15" t="s">
        <v>306</v>
      </c>
      <c r="C397" s="73">
        <v>22.51</v>
      </c>
      <c r="D397" s="131">
        <v>22.05</v>
      </c>
      <c r="E397" s="33">
        <v>1</v>
      </c>
      <c r="F397" s="29"/>
      <c r="G397" s="30"/>
      <c r="H397" s="30">
        <f t="shared" si="105"/>
        <v>22.51</v>
      </c>
      <c r="I397" s="156">
        <v>5.43</v>
      </c>
      <c r="J397" s="156"/>
      <c r="K397" s="156"/>
      <c r="L397" s="156"/>
      <c r="M397" s="156">
        <v>17.899999999999999</v>
      </c>
      <c r="N397" s="156"/>
      <c r="O397" s="156"/>
      <c r="P397" s="156"/>
      <c r="Q397" s="156"/>
      <c r="R397" s="31"/>
      <c r="S397" s="31"/>
      <c r="T397" s="31"/>
      <c r="U397" s="31"/>
      <c r="V397" s="31"/>
      <c r="W397" s="1"/>
    </row>
    <row r="398" spans="1:23" ht="14.4" x14ac:dyDescent="0.25">
      <c r="A398" s="150"/>
      <c r="B398" s="15" t="s">
        <v>213</v>
      </c>
      <c r="C398" s="73">
        <v>4.4800000000000004</v>
      </c>
      <c r="D398" s="131">
        <v>8.8699999999999992</v>
      </c>
      <c r="E398" s="33">
        <v>1</v>
      </c>
      <c r="F398" s="29"/>
      <c r="G398" s="30"/>
      <c r="H398" s="30">
        <f t="shared" si="105"/>
        <v>4.4800000000000004</v>
      </c>
      <c r="I398" s="156"/>
      <c r="J398" s="156"/>
      <c r="K398" s="156"/>
      <c r="L398" s="156"/>
      <c r="M398" s="156"/>
      <c r="N398" s="156"/>
      <c r="O398" s="156"/>
      <c r="P398" s="156"/>
      <c r="Q398" s="156"/>
      <c r="R398" s="31">
        <f>H398</f>
        <v>4.4800000000000004</v>
      </c>
      <c r="S398" s="31"/>
      <c r="T398" s="31"/>
      <c r="U398" s="31"/>
      <c r="V398" s="31">
        <f>D398*E398</f>
        <v>8.8699999999999992</v>
      </c>
      <c r="W398" s="1"/>
    </row>
    <row r="399" spans="1:23" ht="14.4" x14ac:dyDescent="0.25">
      <c r="A399" s="150"/>
      <c r="B399" s="15" t="s">
        <v>177</v>
      </c>
      <c r="C399" s="73">
        <v>10.220000000000001</v>
      </c>
      <c r="D399" s="131">
        <v>13.77</v>
      </c>
      <c r="E399" s="33">
        <v>1</v>
      </c>
      <c r="F399" s="29"/>
      <c r="G399" s="30"/>
      <c r="H399" s="30">
        <f t="shared" si="105"/>
        <v>10.220000000000001</v>
      </c>
      <c r="I399" s="156"/>
      <c r="J399" s="156"/>
      <c r="K399" s="156"/>
      <c r="L399" s="156"/>
      <c r="M399" s="156"/>
      <c r="N399" s="156"/>
      <c r="O399" s="156"/>
      <c r="P399" s="156">
        <f>H399</f>
        <v>10.220000000000001</v>
      </c>
      <c r="Q399" s="156"/>
      <c r="R399" s="31"/>
      <c r="S399" s="31"/>
      <c r="T399" s="31"/>
      <c r="U399" s="31"/>
      <c r="V399" s="31"/>
      <c r="W399" s="1"/>
    </row>
    <row r="400" spans="1:23" ht="14.4" x14ac:dyDescent="0.25">
      <c r="A400" s="150"/>
      <c r="B400" s="15" t="s">
        <v>307</v>
      </c>
      <c r="C400" s="73">
        <v>9.16</v>
      </c>
      <c r="D400" s="131">
        <v>12.98</v>
      </c>
      <c r="E400" s="33">
        <v>1</v>
      </c>
      <c r="F400" s="29"/>
      <c r="G400" s="30"/>
      <c r="H400" s="30">
        <f t="shared" si="105"/>
        <v>9.16</v>
      </c>
      <c r="I400" s="156"/>
      <c r="J400" s="156"/>
      <c r="K400" s="156"/>
      <c r="L400" s="156"/>
      <c r="M400" s="156"/>
      <c r="N400" s="156"/>
      <c r="O400" s="156"/>
      <c r="P400" s="156"/>
      <c r="Q400" s="156"/>
      <c r="R400" s="31"/>
      <c r="S400" s="31">
        <f t="shared" si="107"/>
        <v>9.16</v>
      </c>
      <c r="T400" s="31"/>
      <c r="U400" s="31">
        <f t="shared" si="106"/>
        <v>12.98</v>
      </c>
      <c r="V400" s="31"/>
      <c r="W400" s="1"/>
    </row>
    <row r="401" spans="1:23" ht="14.4" x14ac:dyDescent="0.25">
      <c r="A401" s="150"/>
      <c r="B401" s="15" t="s">
        <v>308</v>
      </c>
      <c r="C401" s="73">
        <v>6.12</v>
      </c>
      <c r="D401" s="131">
        <v>9.9499999999999993</v>
      </c>
      <c r="E401" s="33">
        <v>1</v>
      </c>
      <c r="F401" s="29"/>
      <c r="G401" s="30"/>
      <c r="H401" s="30">
        <f t="shared" si="105"/>
        <v>6.12</v>
      </c>
      <c r="I401" s="156"/>
      <c r="J401" s="156"/>
      <c r="K401" s="156"/>
      <c r="L401" s="156"/>
      <c r="M401" s="156"/>
      <c r="N401" s="156"/>
      <c r="O401" s="156"/>
      <c r="P401" s="156"/>
      <c r="Q401" s="156"/>
      <c r="R401" s="31"/>
      <c r="S401" s="31">
        <f t="shared" si="107"/>
        <v>6.12</v>
      </c>
      <c r="T401" s="31"/>
      <c r="U401" s="31">
        <f t="shared" si="106"/>
        <v>9.9499999999999993</v>
      </c>
      <c r="V401" s="31"/>
      <c r="W401" s="1"/>
    </row>
    <row r="402" spans="1:23" ht="14.4" x14ac:dyDescent="0.25">
      <c r="A402" s="150"/>
      <c r="B402" s="15" t="s">
        <v>309</v>
      </c>
      <c r="C402" s="73">
        <v>3.3</v>
      </c>
      <c r="D402" s="131">
        <v>7.4</v>
      </c>
      <c r="E402" s="33">
        <v>2</v>
      </c>
      <c r="F402" s="29"/>
      <c r="G402" s="30"/>
      <c r="H402" s="30">
        <f t="shared" si="105"/>
        <v>6.6</v>
      </c>
      <c r="I402" s="156"/>
      <c r="J402" s="156"/>
      <c r="K402" s="156"/>
      <c r="L402" s="156"/>
      <c r="M402" s="156"/>
      <c r="N402" s="156"/>
      <c r="O402" s="156"/>
      <c r="P402" s="156"/>
      <c r="Q402" s="156"/>
      <c r="R402" s="31">
        <f>H402</f>
        <v>6.6</v>
      </c>
      <c r="S402" s="31"/>
      <c r="T402" s="31"/>
      <c r="U402" s="31"/>
      <c r="V402" s="31">
        <f>D402*E402</f>
        <v>14.8</v>
      </c>
      <c r="W402" s="1"/>
    </row>
    <row r="403" spans="1:23" ht="14.4" x14ac:dyDescent="0.25">
      <c r="A403" s="150"/>
      <c r="B403" s="15" t="s">
        <v>269</v>
      </c>
      <c r="C403" s="73">
        <v>4.0199999999999996</v>
      </c>
      <c r="D403" s="131">
        <v>8.52</v>
      </c>
      <c r="E403" s="33">
        <v>1</v>
      </c>
      <c r="F403" s="29"/>
      <c r="G403" s="30"/>
      <c r="H403" s="30">
        <f t="shared" si="105"/>
        <v>4.0199999999999996</v>
      </c>
      <c r="I403" s="156"/>
      <c r="J403" s="156"/>
      <c r="K403" s="156"/>
      <c r="L403" s="156"/>
      <c r="M403" s="156">
        <f>H403</f>
        <v>4.0199999999999996</v>
      </c>
      <c r="N403" s="156"/>
      <c r="O403" s="156"/>
      <c r="P403" s="156"/>
      <c r="Q403" s="156"/>
      <c r="R403" s="31"/>
      <c r="S403" s="31"/>
      <c r="T403" s="31"/>
      <c r="U403" s="31"/>
      <c r="V403" s="31"/>
      <c r="W403" s="1"/>
    </row>
    <row r="404" spans="1:23" ht="14.4" x14ac:dyDescent="0.25">
      <c r="A404" s="150"/>
      <c r="B404" s="15" t="s">
        <v>310</v>
      </c>
      <c r="C404" s="73">
        <v>4.6900000000000004</v>
      </c>
      <c r="D404" s="131">
        <v>7.4600000000000009</v>
      </c>
      <c r="E404" s="33">
        <v>1</v>
      </c>
      <c r="F404" s="29"/>
      <c r="G404" s="30"/>
      <c r="H404" s="30">
        <f t="shared" si="105"/>
        <v>4.6900000000000004</v>
      </c>
      <c r="I404" s="156"/>
      <c r="J404" s="156"/>
      <c r="K404" s="156"/>
      <c r="L404" s="156"/>
      <c r="M404" s="156"/>
      <c r="N404" s="156"/>
      <c r="O404" s="156"/>
      <c r="P404" s="156"/>
      <c r="Q404" s="156"/>
      <c r="R404" s="31"/>
      <c r="S404" s="31">
        <f t="shared" si="107"/>
        <v>4.6900000000000004</v>
      </c>
      <c r="T404" s="31"/>
      <c r="U404" s="31">
        <f t="shared" si="106"/>
        <v>7.4600000000000009</v>
      </c>
      <c r="V404" s="31"/>
      <c r="W404" s="1"/>
    </row>
    <row r="405" spans="1:23" ht="14.4" x14ac:dyDescent="0.25">
      <c r="A405" s="150"/>
      <c r="B405" s="15" t="s">
        <v>205</v>
      </c>
      <c r="C405" s="73">
        <v>7.77</v>
      </c>
      <c r="D405" s="131">
        <v>8.36</v>
      </c>
      <c r="E405" s="33">
        <v>1</v>
      </c>
      <c r="F405" s="29"/>
      <c r="G405" s="30"/>
      <c r="H405" s="30">
        <f t="shared" si="105"/>
        <v>7.77</v>
      </c>
      <c r="I405" s="156"/>
      <c r="J405" s="156"/>
      <c r="K405" s="156"/>
      <c r="L405" s="156"/>
      <c r="M405" s="156">
        <f>H405</f>
        <v>7.77</v>
      </c>
      <c r="N405" s="156"/>
      <c r="O405" s="156"/>
      <c r="P405" s="156"/>
      <c r="Q405" s="156"/>
      <c r="R405" s="31"/>
      <c r="S405" s="31"/>
      <c r="T405" s="31"/>
      <c r="U405" s="31"/>
      <c r="V405" s="31"/>
      <c r="W405" s="1"/>
    </row>
    <row r="406" spans="1:23" ht="14.4" x14ac:dyDescent="0.25">
      <c r="A406" s="150"/>
      <c r="B406" s="15" t="s">
        <v>311</v>
      </c>
      <c r="C406" s="73">
        <v>6.32</v>
      </c>
      <c r="D406" s="131">
        <v>10.050000000000001</v>
      </c>
      <c r="E406" s="33">
        <v>1</v>
      </c>
      <c r="F406" s="29"/>
      <c r="G406" s="30"/>
      <c r="H406" s="30">
        <f t="shared" si="105"/>
        <v>6.32</v>
      </c>
      <c r="I406" s="156"/>
      <c r="J406" s="156"/>
      <c r="K406" s="156"/>
      <c r="L406" s="156"/>
      <c r="M406" s="156"/>
      <c r="N406" s="156"/>
      <c r="O406" s="156"/>
      <c r="P406" s="156"/>
      <c r="Q406" s="156"/>
      <c r="R406" s="31"/>
      <c r="S406" s="31">
        <f t="shared" si="107"/>
        <v>6.32</v>
      </c>
      <c r="T406" s="31"/>
      <c r="U406" s="31">
        <f t="shared" si="106"/>
        <v>10.050000000000001</v>
      </c>
      <c r="V406" s="31"/>
      <c r="W406" s="1"/>
    </row>
    <row r="407" spans="1:23" ht="14.4" x14ac:dyDescent="0.25">
      <c r="A407" s="150"/>
      <c r="B407" s="15" t="s">
        <v>270</v>
      </c>
      <c r="C407" s="73">
        <v>8.18</v>
      </c>
      <c r="D407" s="131">
        <v>12.13</v>
      </c>
      <c r="E407" s="33">
        <v>1</v>
      </c>
      <c r="F407" s="29"/>
      <c r="G407" s="30"/>
      <c r="H407" s="30">
        <f t="shared" si="105"/>
        <v>8.18</v>
      </c>
      <c r="I407" s="156"/>
      <c r="J407" s="156"/>
      <c r="K407" s="156"/>
      <c r="L407" s="156"/>
      <c r="M407" s="156"/>
      <c r="N407" s="156"/>
      <c r="O407" s="156"/>
      <c r="P407" s="156"/>
      <c r="Q407" s="156"/>
      <c r="R407" s="31"/>
      <c r="S407" s="31">
        <f t="shared" si="107"/>
        <v>8.18</v>
      </c>
      <c r="T407" s="31"/>
      <c r="U407" s="31">
        <f t="shared" si="106"/>
        <v>12.13</v>
      </c>
      <c r="V407" s="31"/>
      <c r="W407" s="1"/>
    </row>
    <row r="408" spans="1:23" ht="14.4" x14ac:dyDescent="0.25">
      <c r="A408" s="150"/>
      <c r="B408" s="15" t="s">
        <v>312</v>
      </c>
      <c r="C408" s="73">
        <v>11.97</v>
      </c>
      <c r="D408" s="131">
        <v>18.649999999999999</v>
      </c>
      <c r="E408" s="33">
        <v>1</v>
      </c>
      <c r="F408" s="29"/>
      <c r="G408" s="30"/>
      <c r="H408" s="30">
        <f t="shared" si="105"/>
        <v>11.97</v>
      </c>
      <c r="I408" s="156"/>
      <c r="J408" s="156"/>
      <c r="K408" s="156"/>
      <c r="L408" s="156"/>
      <c r="M408" s="156"/>
      <c r="N408" s="156"/>
      <c r="O408" s="156"/>
      <c r="P408" s="156"/>
      <c r="Q408" s="156"/>
      <c r="R408" s="31">
        <f>H408</f>
        <v>11.97</v>
      </c>
      <c r="S408" s="31"/>
      <c r="T408" s="31"/>
      <c r="U408" s="31"/>
      <c r="V408" s="31">
        <f>D408*E408</f>
        <v>18.649999999999999</v>
      </c>
      <c r="W408" s="1"/>
    </row>
    <row r="409" spans="1:23" ht="14.4" x14ac:dyDescent="0.25">
      <c r="A409" s="150"/>
      <c r="B409" s="220" t="s">
        <v>277</v>
      </c>
      <c r="C409" s="222">
        <v>12.07</v>
      </c>
      <c r="D409" s="131">
        <v>18.579999999999998</v>
      </c>
      <c r="E409" s="33">
        <v>1</v>
      </c>
      <c r="F409" s="29"/>
      <c r="G409" s="30"/>
      <c r="H409" s="30">
        <f t="shared" si="105"/>
        <v>12.07</v>
      </c>
      <c r="I409" s="156"/>
      <c r="J409" s="156"/>
      <c r="K409" s="156"/>
      <c r="L409" s="156"/>
      <c r="M409" s="156"/>
      <c r="N409" s="156"/>
      <c r="O409" s="156"/>
      <c r="P409" s="156"/>
      <c r="Q409" s="156"/>
      <c r="R409" s="31">
        <f t="shared" ref="R409:R410" si="108">H409</f>
        <v>12.07</v>
      </c>
      <c r="S409" s="31"/>
      <c r="T409" s="31"/>
      <c r="U409" s="31"/>
      <c r="V409" s="31">
        <f>D409*E409</f>
        <v>18.579999999999998</v>
      </c>
      <c r="W409" s="1"/>
    </row>
    <row r="410" spans="1:23" ht="14.4" x14ac:dyDescent="0.25">
      <c r="A410" s="150"/>
      <c r="B410" s="15" t="s">
        <v>313</v>
      </c>
      <c r="C410" s="73">
        <v>3</v>
      </c>
      <c r="D410" s="131">
        <v>7.4</v>
      </c>
      <c r="E410" s="33">
        <v>2</v>
      </c>
      <c r="F410" s="29"/>
      <c r="G410" s="30"/>
      <c r="H410" s="30">
        <f t="shared" si="105"/>
        <v>6</v>
      </c>
      <c r="I410" s="156"/>
      <c r="J410" s="156"/>
      <c r="K410" s="156"/>
      <c r="L410" s="156"/>
      <c r="M410" s="156"/>
      <c r="N410" s="156"/>
      <c r="O410" s="156"/>
      <c r="P410" s="156"/>
      <c r="Q410" s="156"/>
      <c r="R410" s="31">
        <f t="shared" si="108"/>
        <v>6</v>
      </c>
      <c r="S410" s="31"/>
      <c r="T410" s="31"/>
      <c r="U410" s="31"/>
      <c r="V410" s="31">
        <f>D410*E410</f>
        <v>14.8</v>
      </c>
      <c r="W410" s="1"/>
    </row>
    <row r="411" spans="1:23" ht="14.4" x14ac:dyDescent="0.25">
      <c r="A411" s="150"/>
      <c r="B411" s="15" t="s">
        <v>282</v>
      </c>
      <c r="C411" s="73">
        <v>16.18</v>
      </c>
      <c r="D411" s="131">
        <v>18.98</v>
      </c>
      <c r="E411" s="33">
        <v>1</v>
      </c>
      <c r="F411" s="29"/>
      <c r="G411" s="30"/>
      <c r="H411" s="30">
        <f t="shared" si="105"/>
        <v>16.18</v>
      </c>
      <c r="I411" s="156"/>
      <c r="J411" s="156"/>
      <c r="K411" s="156"/>
      <c r="L411" s="156"/>
      <c r="M411" s="156"/>
      <c r="N411" s="156"/>
      <c r="O411" s="156"/>
      <c r="P411" s="156"/>
      <c r="Q411" s="156"/>
      <c r="R411" s="31"/>
      <c r="S411" s="31">
        <f t="shared" si="107"/>
        <v>16.18</v>
      </c>
      <c r="T411" s="31"/>
      <c r="U411" s="31">
        <f t="shared" si="106"/>
        <v>18.98</v>
      </c>
      <c r="V411" s="31"/>
      <c r="W411" s="1"/>
    </row>
    <row r="412" spans="1:23" ht="14.4" x14ac:dyDescent="0.25">
      <c r="A412" s="150"/>
      <c r="B412" s="15" t="s">
        <v>257</v>
      </c>
      <c r="C412" s="73">
        <v>10.94</v>
      </c>
      <c r="D412" s="131">
        <v>12.07</v>
      </c>
      <c r="E412" s="33">
        <v>1</v>
      </c>
      <c r="F412" s="29"/>
      <c r="G412" s="30"/>
      <c r="H412" s="30">
        <f t="shared" si="105"/>
        <v>10.94</v>
      </c>
      <c r="I412" s="156"/>
      <c r="J412" s="156"/>
      <c r="K412" s="156"/>
      <c r="L412" s="156"/>
      <c r="M412" s="156"/>
      <c r="N412" s="156"/>
      <c r="O412" s="156"/>
      <c r="P412" s="156"/>
      <c r="Q412" s="156">
        <f>H412</f>
        <v>10.94</v>
      </c>
      <c r="R412" s="31"/>
      <c r="S412" s="31"/>
      <c r="T412" s="31"/>
      <c r="U412" s="31"/>
      <c r="V412" s="31"/>
      <c r="W412" s="1"/>
    </row>
    <row r="413" spans="1:23" ht="14.4" x14ac:dyDescent="0.25">
      <c r="A413" s="150"/>
      <c r="B413" s="15" t="s">
        <v>314</v>
      </c>
      <c r="C413" s="73">
        <v>10.94</v>
      </c>
      <c r="D413" s="131">
        <v>12.07</v>
      </c>
      <c r="E413" s="33">
        <v>1</v>
      </c>
      <c r="F413" s="29"/>
      <c r="G413" s="30"/>
      <c r="H413" s="30">
        <f t="shared" si="105"/>
        <v>10.94</v>
      </c>
      <c r="I413" s="156">
        <v>0.61199999999999999</v>
      </c>
      <c r="J413" s="156"/>
      <c r="K413" s="156"/>
      <c r="L413" s="156"/>
      <c r="M413" s="156">
        <v>10.327999999999999</v>
      </c>
      <c r="N413" s="156"/>
      <c r="O413" s="156"/>
      <c r="P413" s="156"/>
      <c r="Q413" s="156"/>
      <c r="R413" s="31"/>
      <c r="S413" s="31"/>
      <c r="T413" s="31"/>
      <c r="U413" s="31"/>
      <c r="V413" s="31"/>
      <c r="W413" s="1"/>
    </row>
    <row r="414" spans="1:23" ht="14.4" x14ac:dyDescent="0.25">
      <c r="A414" s="150"/>
      <c r="B414" s="15" t="s">
        <v>315</v>
      </c>
      <c r="C414" s="73">
        <v>13.8</v>
      </c>
      <c r="D414" s="131">
        <v>14.290000000000001</v>
      </c>
      <c r="E414" s="33">
        <v>1</v>
      </c>
      <c r="F414" s="29"/>
      <c r="G414" s="30"/>
      <c r="H414" s="30">
        <f t="shared" si="105"/>
        <v>13.8</v>
      </c>
      <c r="I414" s="156">
        <v>2.81</v>
      </c>
      <c r="J414" s="156"/>
      <c r="K414" s="156"/>
      <c r="L414" s="156"/>
      <c r="M414" s="156">
        <v>10.99</v>
      </c>
      <c r="N414" s="156"/>
      <c r="O414" s="156"/>
      <c r="P414" s="156"/>
      <c r="Q414" s="156"/>
      <c r="R414" s="31"/>
      <c r="S414" s="31"/>
      <c r="T414" s="31"/>
      <c r="U414" s="31"/>
      <c r="V414" s="31"/>
      <c r="W414" s="1"/>
    </row>
    <row r="415" spans="1:23" ht="14.4" x14ac:dyDescent="0.25">
      <c r="A415" s="150"/>
      <c r="B415" s="220" t="s">
        <v>246</v>
      </c>
      <c r="C415" s="222">
        <v>17.649999999999999</v>
      </c>
      <c r="D415" s="131">
        <f>(20.23-3.31)+7.39</f>
        <v>24.310000000000002</v>
      </c>
      <c r="E415" s="33">
        <v>1</v>
      </c>
      <c r="F415" s="29"/>
      <c r="G415" s="30"/>
      <c r="H415" s="30">
        <f t="shared" si="105"/>
        <v>17.649999999999999</v>
      </c>
      <c r="I415" s="156">
        <v>17.649999999999999</v>
      </c>
      <c r="J415" s="156"/>
      <c r="K415" s="156"/>
      <c r="L415" s="156"/>
      <c r="M415" s="156"/>
      <c r="N415" s="156"/>
      <c r="O415" s="156"/>
      <c r="P415" s="156"/>
      <c r="Q415" s="156"/>
      <c r="R415" s="31"/>
      <c r="S415" s="31"/>
      <c r="T415" s="31"/>
      <c r="U415" s="31"/>
      <c r="V415" s="31"/>
      <c r="W415" s="1"/>
    </row>
    <row r="416" spans="1:23" ht="14.4" x14ac:dyDescent="0.25">
      <c r="A416" s="150"/>
      <c r="B416" s="220" t="s">
        <v>316</v>
      </c>
      <c r="C416" s="222">
        <v>36.85</v>
      </c>
      <c r="D416" s="131">
        <f>(38.25-3.9)+3.38</f>
        <v>37.730000000000004</v>
      </c>
      <c r="E416" s="33">
        <v>1</v>
      </c>
      <c r="F416" s="269"/>
      <c r="G416" s="30"/>
      <c r="H416" s="30">
        <f t="shared" si="105"/>
        <v>36.85</v>
      </c>
      <c r="I416" s="156">
        <v>4.74</v>
      </c>
      <c r="J416" s="156"/>
      <c r="K416" s="156"/>
      <c r="L416" s="156">
        <v>5.58</v>
      </c>
      <c r="M416" s="156">
        <v>25.24</v>
      </c>
      <c r="N416" s="156"/>
      <c r="O416" s="156"/>
      <c r="P416" s="156"/>
      <c r="Q416" s="156"/>
      <c r="R416" s="31"/>
      <c r="S416" s="31"/>
      <c r="T416" s="31"/>
      <c r="U416" s="31"/>
      <c r="V416" s="31"/>
      <c r="W416" s="1"/>
    </row>
    <row r="417" spans="1:23" ht="14.4" x14ac:dyDescent="0.25">
      <c r="A417" s="150"/>
      <c r="B417" s="15" t="s">
        <v>177</v>
      </c>
      <c r="C417" s="73">
        <v>4.95</v>
      </c>
      <c r="D417" s="131">
        <v>8.9</v>
      </c>
      <c r="E417" s="33">
        <v>1</v>
      </c>
      <c r="F417" s="29"/>
      <c r="G417" s="30"/>
      <c r="H417" s="30">
        <f t="shared" si="105"/>
        <v>4.95</v>
      </c>
      <c r="I417" s="156"/>
      <c r="J417" s="156"/>
      <c r="K417" s="156"/>
      <c r="L417" s="156"/>
      <c r="M417" s="156"/>
      <c r="N417" s="156"/>
      <c r="O417" s="156"/>
      <c r="P417" s="156">
        <f>H417</f>
        <v>4.95</v>
      </c>
      <c r="Q417" s="156"/>
      <c r="R417" s="31"/>
      <c r="S417" s="31"/>
      <c r="T417" s="31"/>
      <c r="U417" s="31"/>
      <c r="V417" s="31"/>
      <c r="W417" s="1"/>
    </row>
    <row r="418" spans="1:23" ht="14.4" x14ac:dyDescent="0.25">
      <c r="A418" s="150"/>
      <c r="B418" s="220" t="s">
        <v>168</v>
      </c>
      <c r="C418" s="222">
        <v>73.86</v>
      </c>
      <c r="D418" s="131">
        <f>(70.15-4.75)+2.7</f>
        <v>68.100000000000009</v>
      </c>
      <c r="E418" s="33">
        <v>1</v>
      </c>
      <c r="F418" s="29"/>
      <c r="G418" s="30"/>
      <c r="H418" s="30">
        <f t="shared" si="105"/>
        <v>73.86</v>
      </c>
      <c r="I418" s="156">
        <v>3.024</v>
      </c>
      <c r="J418" s="156"/>
      <c r="K418" s="156"/>
      <c r="L418" s="156">
        <v>8.64</v>
      </c>
      <c r="M418" s="156">
        <v>62.19</v>
      </c>
      <c r="N418" s="156"/>
      <c r="O418" s="156"/>
      <c r="P418" s="156"/>
      <c r="Q418" s="156"/>
      <c r="R418" s="31"/>
      <c r="S418" s="31"/>
      <c r="T418" s="31"/>
      <c r="U418" s="31"/>
      <c r="V418" s="31"/>
      <c r="W418" s="1"/>
    </row>
    <row r="419" spans="1:23" ht="14.4" x14ac:dyDescent="0.25">
      <c r="A419" s="150"/>
      <c r="B419" s="15" t="s">
        <v>213</v>
      </c>
      <c r="C419" s="73">
        <v>4.29</v>
      </c>
      <c r="D419" s="131">
        <v>8.73</v>
      </c>
      <c r="E419" s="33">
        <v>1</v>
      </c>
      <c r="F419" s="29"/>
      <c r="G419" s="30"/>
      <c r="H419" s="30">
        <f t="shared" si="105"/>
        <v>4.29</v>
      </c>
      <c r="I419" s="156"/>
      <c r="J419" s="156"/>
      <c r="K419" s="156"/>
      <c r="L419" s="156"/>
      <c r="M419" s="156"/>
      <c r="N419" s="156"/>
      <c r="O419" s="156"/>
      <c r="P419" s="156"/>
      <c r="Q419" s="156"/>
      <c r="R419" s="31">
        <f>H419</f>
        <v>4.29</v>
      </c>
      <c r="S419" s="31"/>
      <c r="T419" s="31"/>
      <c r="U419" s="31"/>
      <c r="V419" s="31">
        <f>D419*E419</f>
        <v>8.73</v>
      </c>
      <c r="W419" s="1"/>
    </row>
    <row r="420" spans="1:23" ht="14.4" x14ac:dyDescent="0.25">
      <c r="A420" s="150"/>
      <c r="B420" s="15" t="s">
        <v>317</v>
      </c>
      <c r="C420" s="73">
        <v>23.04</v>
      </c>
      <c r="D420" s="131">
        <v>22.46</v>
      </c>
      <c r="E420" s="33">
        <v>1</v>
      </c>
      <c r="F420" s="29"/>
      <c r="G420" s="30"/>
      <c r="H420" s="30">
        <f t="shared" si="105"/>
        <v>23.04</v>
      </c>
      <c r="I420" s="156">
        <v>4.68</v>
      </c>
      <c r="J420" s="156"/>
      <c r="K420" s="156"/>
      <c r="L420" s="156">
        <v>1.84</v>
      </c>
      <c r="M420" s="156">
        <v>16.52</v>
      </c>
      <c r="N420" s="156"/>
      <c r="O420" s="156"/>
      <c r="P420" s="156"/>
      <c r="Q420" s="156"/>
      <c r="R420" s="31"/>
      <c r="S420" s="31"/>
      <c r="T420" s="31"/>
      <c r="U420" s="31"/>
      <c r="V420" s="31"/>
      <c r="W420" s="1"/>
    </row>
    <row r="421" spans="1:23" ht="14.4" x14ac:dyDescent="0.25">
      <c r="A421" s="150"/>
      <c r="B421" s="15" t="s">
        <v>319</v>
      </c>
      <c r="C421" s="73">
        <v>23.1</v>
      </c>
      <c r="D421" s="131">
        <v>23.46</v>
      </c>
      <c r="E421" s="33">
        <v>3</v>
      </c>
      <c r="F421" s="29"/>
      <c r="G421" s="30"/>
      <c r="H421" s="30">
        <f t="shared" si="105"/>
        <v>69.300000000000011</v>
      </c>
      <c r="I421" s="156">
        <f>5.43*E421</f>
        <v>16.29</v>
      </c>
      <c r="J421" s="156"/>
      <c r="K421" s="156"/>
      <c r="L421" s="156">
        <f>1.99*E421</f>
        <v>5.97</v>
      </c>
      <c r="M421" s="156">
        <v>64.78</v>
      </c>
      <c r="N421" s="156"/>
      <c r="O421" s="156"/>
      <c r="P421" s="156"/>
      <c r="Q421" s="156"/>
      <c r="R421" s="31"/>
      <c r="S421" s="31"/>
      <c r="T421" s="31"/>
      <c r="U421" s="31"/>
      <c r="V421" s="31"/>
      <c r="W421" s="1"/>
    </row>
    <row r="422" spans="1:23" ht="14.4" x14ac:dyDescent="0.25">
      <c r="A422" s="150"/>
      <c r="B422" s="15" t="s">
        <v>318</v>
      </c>
      <c r="C422" s="73">
        <v>23.74</v>
      </c>
      <c r="D422" s="131">
        <v>21.47</v>
      </c>
      <c r="E422" s="33">
        <v>2</v>
      </c>
      <c r="F422" s="29"/>
      <c r="G422" s="30"/>
      <c r="H422" s="30">
        <f t="shared" si="105"/>
        <v>47.48</v>
      </c>
      <c r="I422" s="156">
        <v>6.14</v>
      </c>
      <c r="J422" s="156"/>
      <c r="K422" s="156"/>
      <c r="L422" s="156">
        <v>3.97</v>
      </c>
      <c r="M422" s="156">
        <v>38.880000000000003</v>
      </c>
      <c r="N422" s="156"/>
      <c r="O422" s="156"/>
      <c r="P422" s="156"/>
      <c r="Q422" s="156"/>
      <c r="R422" s="31"/>
      <c r="S422" s="31"/>
      <c r="T422" s="31"/>
      <c r="U422" s="31"/>
      <c r="V422" s="31"/>
      <c r="W422" s="1"/>
    </row>
    <row r="423" spans="1:23" ht="14.4" x14ac:dyDescent="0.25">
      <c r="A423" s="150"/>
      <c r="B423" s="220" t="s">
        <v>213</v>
      </c>
      <c r="C423" s="222">
        <v>4.41</v>
      </c>
      <c r="D423" s="131">
        <v>7.59</v>
      </c>
      <c r="E423" s="33">
        <v>1</v>
      </c>
      <c r="F423" s="29"/>
      <c r="G423" s="30"/>
      <c r="H423" s="30">
        <f t="shared" si="105"/>
        <v>4.41</v>
      </c>
      <c r="I423" s="156"/>
      <c r="J423" s="156"/>
      <c r="K423" s="156"/>
      <c r="L423" s="156"/>
      <c r="M423" s="156"/>
      <c r="N423" s="156"/>
      <c r="O423" s="156"/>
      <c r="P423" s="156"/>
      <c r="Q423" s="156"/>
      <c r="R423" s="31">
        <f>C423</f>
        <v>4.41</v>
      </c>
      <c r="S423" s="31"/>
      <c r="T423" s="31"/>
      <c r="U423" s="31">
        <f t="shared" si="106"/>
        <v>7.59</v>
      </c>
      <c r="V423" s="31"/>
      <c r="W423" s="1"/>
    </row>
    <row r="424" spans="1:23" ht="14.4" x14ac:dyDescent="0.25">
      <c r="A424" s="150"/>
      <c r="B424" s="15" t="s">
        <v>213</v>
      </c>
      <c r="C424" s="73">
        <v>4.7</v>
      </c>
      <c r="D424" s="131">
        <v>8.73</v>
      </c>
      <c r="E424" s="33">
        <v>1</v>
      </c>
      <c r="F424" s="29"/>
      <c r="G424" s="30"/>
      <c r="H424" s="30">
        <f t="shared" si="105"/>
        <v>4.7</v>
      </c>
      <c r="I424" s="156"/>
      <c r="J424" s="156"/>
      <c r="K424" s="156"/>
      <c r="L424" s="156"/>
      <c r="M424" s="156"/>
      <c r="N424" s="156"/>
      <c r="O424" s="156"/>
      <c r="P424" s="156"/>
      <c r="Q424" s="156"/>
      <c r="R424" s="31">
        <f>C424</f>
        <v>4.7</v>
      </c>
      <c r="S424" s="31"/>
      <c r="T424" s="31"/>
      <c r="U424" s="31"/>
      <c r="V424" s="31">
        <f>D424*E424</f>
        <v>8.73</v>
      </c>
      <c r="W424" s="1"/>
    </row>
    <row r="425" spans="1:23" ht="14.4" x14ac:dyDescent="0.25">
      <c r="A425" s="150"/>
      <c r="B425" s="15" t="s">
        <v>213</v>
      </c>
      <c r="C425" s="73">
        <v>4.42</v>
      </c>
      <c r="D425" s="131">
        <v>8.75</v>
      </c>
      <c r="E425" s="33">
        <v>2</v>
      </c>
      <c r="F425" s="29"/>
      <c r="G425" s="30"/>
      <c r="H425" s="30">
        <f t="shared" si="105"/>
        <v>8.84</v>
      </c>
      <c r="I425" s="156"/>
      <c r="J425" s="156"/>
      <c r="K425" s="156"/>
      <c r="L425" s="156"/>
      <c r="M425" s="156"/>
      <c r="N425" s="156"/>
      <c r="O425" s="156"/>
      <c r="P425" s="156"/>
      <c r="Q425" s="156"/>
      <c r="R425" s="31">
        <f t="shared" ref="R425:R426" si="109">H425</f>
        <v>8.84</v>
      </c>
      <c r="S425" s="31"/>
      <c r="T425" s="31"/>
      <c r="U425" s="31"/>
      <c r="V425" s="31">
        <f>D425*E425</f>
        <v>17.5</v>
      </c>
      <c r="W425" s="1"/>
    </row>
    <row r="426" spans="1:23" ht="14.4" x14ac:dyDescent="0.25">
      <c r="A426" s="150"/>
      <c r="B426" s="15" t="s">
        <v>213</v>
      </c>
      <c r="C426" s="73">
        <v>4.41</v>
      </c>
      <c r="D426" s="131">
        <v>8.73</v>
      </c>
      <c r="E426" s="33">
        <v>2</v>
      </c>
      <c r="F426" s="29"/>
      <c r="G426" s="30"/>
      <c r="H426" s="30">
        <f t="shared" si="105"/>
        <v>8.82</v>
      </c>
      <c r="I426" s="156"/>
      <c r="J426" s="156"/>
      <c r="K426" s="156"/>
      <c r="L426" s="156"/>
      <c r="M426" s="156"/>
      <c r="N426" s="156"/>
      <c r="O426" s="156"/>
      <c r="P426" s="156"/>
      <c r="Q426" s="156"/>
      <c r="R426" s="31">
        <f t="shared" si="109"/>
        <v>8.82</v>
      </c>
      <c r="S426" s="31"/>
      <c r="T426" s="31"/>
      <c r="U426" s="31"/>
      <c r="V426" s="31">
        <f>D426*E426</f>
        <v>17.46</v>
      </c>
      <c r="W426" s="1"/>
    </row>
    <row r="427" spans="1:23" ht="14.4" x14ac:dyDescent="0.25">
      <c r="A427" s="150"/>
      <c r="B427" s="260" t="s">
        <v>229</v>
      </c>
      <c r="C427" s="73">
        <v>1.65</v>
      </c>
      <c r="D427" s="131">
        <v>7.45</v>
      </c>
      <c r="E427" s="33">
        <v>1</v>
      </c>
      <c r="F427" s="29"/>
      <c r="G427" s="30"/>
      <c r="H427" s="30"/>
      <c r="I427" s="156"/>
      <c r="J427" s="156"/>
      <c r="K427" s="156"/>
      <c r="L427" s="156"/>
      <c r="M427" s="156"/>
      <c r="N427" s="156"/>
      <c r="O427" s="156"/>
      <c r="P427" s="156"/>
      <c r="Q427" s="156"/>
      <c r="R427" s="31"/>
      <c r="S427" s="31"/>
      <c r="T427" s="31"/>
      <c r="U427" s="31"/>
      <c r="V427" s="31"/>
      <c r="W427" s="1"/>
    </row>
    <row r="428" spans="1:23" ht="19.95" customHeight="1" x14ac:dyDescent="0.25">
      <c r="B428" s="128" t="s">
        <v>22</v>
      </c>
      <c r="C428" s="129">
        <f>SUM(C368:C427)</f>
        <v>775.54</v>
      </c>
      <c r="D428" s="129"/>
      <c r="E428" s="129"/>
      <c r="F428" s="129"/>
      <c r="G428" s="129">
        <f t="shared" ref="G428:V428" si="110">SUM(G368:G427)</f>
        <v>0</v>
      </c>
      <c r="H428" s="129">
        <f t="shared" si="110"/>
        <v>862.85000000000025</v>
      </c>
      <c r="I428" s="129">
        <f t="shared" si="110"/>
        <v>78.426000000000002</v>
      </c>
      <c r="J428" s="129">
        <f t="shared" si="110"/>
        <v>0</v>
      </c>
      <c r="K428" s="129">
        <f t="shared" si="110"/>
        <v>0</v>
      </c>
      <c r="L428" s="129">
        <f t="shared" si="110"/>
        <v>26</v>
      </c>
      <c r="M428" s="129">
        <f t="shared" si="110"/>
        <v>407.03800000000001</v>
      </c>
      <c r="N428" s="129">
        <f t="shared" si="110"/>
        <v>0</v>
      </c>
      <c r="O428" s="129">
        <f t="shared" si="110"/>
        <v>0</v>
      </c>
      <c r="P428" s="129">
        <f t="shared" si="110"/>
        <v>69.63000000000001</v>
      </c>
      <c r="Q428" s="129">
        <f t="shared" si="110"/>
        <v>10.94</v>
      </c>
      <c r="R428" s="129">
        <f t="shared" si="110"/>
        <v>91.02000000000001</v>
      </c>
      <c r="S428" s="129">
        <f t="shared" si="110"/>
        <v>200.18</v>
      </c>
      <c r="T428" s="129">
        <f t="shared" si="110"/>
        <v>0</v>
      </c>
      <c r="U428" s="129">
        <f t="shared" si="110"/>
        <v>219.10999999999999</v>
      </c>
      <c r="V428" s="129">
        <f t="shared" si="110"/>
        <v>168.13</v>
      </c>
      <c r="W428" s="1"/>
    </row>
    <row r="429" spans="1:23" ht="19.95" customHeight="1" x14ac:dyDescent="0.25">
      <c r="B429" s="267"/>
      <c r="C429" s="265"/>
      <c r="D429" s="266"/>
      <c r="E429" s="129"/>
      <c r="F429" s="129"/>
      <c r="G429" s="129"/>
      <c r="H429" s="129"/>
      <c r="I429" s="141">
        <v>7</v>
      </c>
      <c r="J429" s="141">
        <v>8</v>
      </c>
      <c r="K429" s="141">
        <v>9</v>
      </c>
      <c r="L429" s="141">
        <v>12</v>
      </c>
      <c r="M429" s="141">
        <v>13</v>
      </c>
      <c r="N429" s="141">
        <v>14</v>
      </c>
      <c r="O429" s="224">
        <v>5</v>
      </c>
      <c r="P429" s="224">
        <v>4</v>
      </c>
      <c r="Q429" s="224">
        <v>2</v>
      </c>
      <c r="R429" s="224">
        <v>3</v>
      </c>
      <c r="S429" s="224">
        <v>1</v>
      </c>
      <c r="T429" s="224">
        <v>5</v>
      </c>
      <c r="U429" s="224">
        <v>1</v>
      </c>
      <c r="V429" s="224">
        <v>3</v>
      </c>
      <c r="W429" s="1"/>
    </row>
    <row r="430" spans="1:23" ht="49.95" customHeight="1" x14ac:dyDescent="0.25">
      <c r="B430" s="852" t="s">
        <v>16</v>
      </c>
      <c r="C430" s="838" t="s">
        <v>17</v>
      </c>
      <c r="D430" s="839" t="s">
        <v>18</v>
      </c>
      <c r="E430" s="842" t="s">
        <v>19</v>
      </c>
      <c r="F430" s="842" t="s">
        <v>13</v>
      </c>
      <c r="G430" s="842" t="s">
        <v>20</v>
      </c>
      <c r="H430" s="842" t="s">
        <v>21</v>
      </c>
      <c r="I430" s="853" t="s">
        <v>866</v>
      </c>
      <c r="J430" s="846" t="s">
        <v>867</v>
      </c>
      <c r="K430" s="855" t="s">
        <v>865</v>
      </c>
      <c r="L430" s="846" t="s">
        <v>868</v>
      </c>
      <c r="M430" s="846" t="s">
        <v>869</v>
      </c>
      <c r="N430" s="846" t="s">
        <v>870</v>
      </c>
      <c r="O430" s="838" t="s">
        <v>81</v>
      </c>
      <c r="P430" s="838" t="s">
        <v>80</v>
      </c>
      <c r="Q430" s="838" t="s">
        <v>70</v>
      </c>
      <c r="R430" s="838" t="s">
        <v>79</v>
      </c>
      <c r="S430" s="838" t="s">
        <v>78</v>
      </c>
      <c r="T430" s="848" t="s">
        <v>75</v>
      </c>
      <c r="U430" s="848" t="s">
        <v>71</v>
      </c>
      <c r="V430" s="850" t="s">
        <v>74</v>
      </c>
      <c r="W430" s="1"/>
    </row>
    <row r="431" spans="1:23" ht="49.95" customHeight="1" x14ac:dyDescent="0.25">
      <c r="B431" s="843"/>
      <c r="C431" s="842"/>
      <c r="D431" s="838"/>
      <c r="E431" s="842"/>
      <c r="F431" s="842"/>
      <c r="G431" s="842"/>
      <c r="H431" s="842"/>
      <c r="I431" s="854"/>
      <c r="J431" s="847"/>
      <c r="K431" s="856"/>
      <c r="L431" s="847"/>
      <c r="M431" s="847"/>
      <c r="N431" s="847"/>
      <c r="O431" s="839"/>
      <c r="P431" s="839"/>
      <c r="Q431" s="839"/>
      <c r="R431" s="839"/>
      <c r="S431" s="839"/>
      <c r="T431" s="849"/>
      <c r="U431" s="849"/>
      <c r="V431" s="851"/>
      <c r="W431" s="1"/>
    </row>
    <row r="432" spans="1:23" ht="15.6" x14ac:dyDescent="0.25">
      <c r="A432" s="141" t="s">
        <v>68</v>
      </c>
      <c r="B432" s="59" t="s">
        <v>63</v>
      </c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1"/>
    </row>
    <row r="433" spans="1:23" ht="14.4" x14ac:dyDescent="0.25">
      <c r="A433" s="559"/>
      <c r="B433" s="220" t="s">
        <v>168</v>
      </c>
      <c r="C433" s="603">
        <v>11.67</v>
      </c>
      <c r="D433" s="576">
        <v>14.83</v>
      </c>
      <c r="E433" s="33">
        <v>1</v>
      </c>
      <c r="F433" s="575"/>
      <c r="G433" s="575"/>
      <c r="H433" s="30">
        <f t="shared" ref="H433:H436" si="111">C433*E433</f>
        <v>11.67</v>
      </c>
      <c r="I433" s="30"/>
      <c r="J433" s="30"/>
      <c r="K433" s="30"/>
      <c r="L433" s="30"/>
      <c r="M433" s="30"/>
      <c r="N433" s="30"/>
      <c r="O433" s="575"/>
      <c r="P433" s="575"/>
      <c r="Q433" s="575"/>
      <c r="R433" s="575"/>
      <c r="S433" s="578">
        <f>H433</f>
        <v>11.67</v>
      </c>
      <c r="T433" s="575"/>
      <c r="U433" s="576">
        <f>D433*E433</f>
        <v>14.83</v>
      </c>
      <c r="V433" s="575"/>
      <c r="W433" s="1"/>
    </row>
    <row r="434" spans="1:23" ht="14.4" x14ac:dyDescent="0.25">
      <c r="A434" s="559"/>
      <c r="B434" s="220" t="s">
        <v>258</v>
      </c>
      <c r="C434" s="603">
        <v>29.81</v>
      </c>
      <c r="D434" s="576">
        <v>27.77</v>
      </c>
      <c r="E434" s="33">
        <v>1</v>
      </c>
      <c r="F434" s="574"/>
      <c r="G434" s="574"/>
      <c r="H434" s="30">
        <f t="shared" si="111"/>
        <v>29.81</v>
      </c>
      <c r="I434" s="30"/>
      <c r="J434" s="30"/>
      <c r="K434" s="30"/>
      <c r="L434" s="30"/>
      <c r="M434" s="30"/>
      <c r="N434" s="30"/>
      <c r="O434" s="574"/>
      <c r="P434" s="574"/>
      <c r="Q434" s="574"/>
      <c r="R434" s="574"/>
      <c r="S434" s="578">
        <f>H434</f>
        <v>29.81</v>
      </c>
      <c r="T434" s="574"/>
      <c r="U434" s="576">
        <f>D434*E434</f>
        <v>27.77</v>
      </c>
      <c r="V434" s="574"/>
      <c r="W434" s="1"/>
    </row>
    <row r="435" spans="1:23" ht="14.4" x14ac:dyDescent="0.25">
      <c r="A435" s="559"/>
      <c r="B435" s="157" t="s">
        <v>346</v>
      </c>
      <c r="C435" s="566">
        <v>43.75</v>
      </c>
      <c r="D435" s="578">
        <v>28.1</v>
      </c>
      <c r="E435" s="33">
        <v>1</v>
      </c>
      <c r="F435" s="574"/>
      <c r="G435" s="574"/>
      <c r="H435" s="30">
        <f t="shared" si="111"/>
        <v>43.75</v>
      </c>
      <c r="I435" s="30"/>
      <c r="J435" s="30"/>
      <c r="K435" s="30"/>
      <c r="L435" s="30"/>
      <c r="M435" s="30"/>
      <c r="N435" s="30"/>
      <c r="O435" s="574"/>
      <c r="P435" s="578">
        <f>H435</f>
        <v>43.75</v>
      </c>
      <c r="Q435" s="574"/>
      <c r="R435" s="574"/>
      <c r="S435" s="612"/>
      <c r="T435" s="574"/>
      <c r="U435" s="574"/>
      <c r="V435" s="574"/>
      <c r="W435" s="1"/>
    </row>
    <row r="436" spans="1:23" ht="14.4" x14ac:dyDescent="0.25">
      <c r="A436" s="559"/>
      <c r="B436" s="157"/>
      <c r="C436" s="566">
        <v>9.35</v>
      </c>
      <c r="D436" s="578"/>
      <c r="E436" s="33">
        <v>1</v>
      </c>
      <c r="F436" s="574"/>
      <c r="G436" s="574"/>
      <c r="H436" s="30">
        <f t="shared" si="111"/>
        <v>9.35</v>
      </c>
      <c r="I436" s="30"/>
      <c r="J436" s="30"/>
      <c r="K436" s="30"/>
      <c r="L436" s="30"/>
      <c r="M436" s="30"/>
      <c r="N436" s="30"/>
      <c r="O436" s="574"/>
      <c r="P436" s="578">
        <f>H436</f>
        <v>9.35</v>
      </c>
      <c r="Q436" s="574"/>
      <c r="R436" s="574"/>
      <c r="S436" s="612"/>
      <c r="T436" s="574"/>
      <c r="U436" s="574"/>
      <c r="V436" s="574"/>
      <c r="W436" s="1"/>
    </row>
    <row r="437" spans="1:23" ht="14.4" x14ac:dyDescent="0.25">
      <c r="A437" s="559"/>
      <c r="B437" s="157" t="s">
        <v>724</v>
      </c>
      <c r="C437" s="566">
        <v>7.45</v>
      </c>
      <c r="D437" s="576">
        <v>10.93</v>
      </c>
      <c r="E437" s="33">
        <v>1</v>
      </c>
      <c r="F437" s="574"/>
      <c r="G437" s="574"/>
      <c r="H437" s="30"/>
      <c r="I437" s="30"/>
      <c r="J437" s="30"/>
      <c r="K437" s="30"/>
      <c r="L437" s="30"/>
      <c r="M437" s="30"/>
      <c r="N437" s="30"/>
      <c r="O437" s="574"/>
      <c r="P437" s="574"/>
      <c r="Q437" s="574"/>
      <c r="R437" s="574"/>
      <c r="S437" s="574"/>
      <c r="T437" s="574"/>
      <c r="U437" s="574"/>
      <c r="V437" s="574"/>
      <c r="W437" s="1"/>
    </row>
    <row r="438" spans="1:23" ht="14.4" x14ac:dyDescent="0.25">
      <c r="A438" s="559"/>
      <c r="B438" s="157" t="s">
        <v>725</v>
      </c>
      <c r="C438" s="566">
        <v>8.23</v>
      </c>
      <c r="D438" s="576">
        <v>11.56</v>
      </c>
      <c r="E438" s="33">
        <v>1</v>
      </c>
      <c r="F438" s="574"/>
      <c r="G438" s="574"/>
      <c r="H438" s="30"/>
      <c r="I438" s="30"/>
      <c r="J438" s="30"/>
      <c r="K438" s="30"/>
      <c r="L438" s="30"/>
      <c r="M438" s="30"/>
      <c r="N438" s="30"/>
      <c r="O438" s="574"/>
      <c r="P438" s="574"/>
      <c r="Q438" s="574"/>
      <c r="R438" s="574"/>
      <c r="S438" s="574"/>
      <c r="T438" s="574"/>
      <c r="U438" s="574"/>
      <c r="V438" s="574"/>
      <c r="W438" s="1"/>
    </row>
    <row r="439" spans="1:23" ht="14.4" x14ac:dyDescent="0.25">
      <c r="A439" s="563"/>
      <c r="B439" s="157" t="s">
        <v>726</v>
      </c>
      <c r="C439" s="186">
        <v>3.9</v>
      </c>
      <c r="D439" s="576">
        <v>8.33</v>
      </c>
      <c r="E439" s="33">
        <v>1</v>
      </c>
      <c r="F439" s="574"/>
      <c r="G439" s="574"/>
      <c r="H439" s="30"/>
      <c r="I439" s="30"/>
      <c r="J439" s="30"/>
      <c r="K439" s="30"/>
      <c r="L439" s="30"/>
      <c r="M439" s="30"/>
      <c r="N439" s="30"/>
      <c r="O439" s="574"/>
      <c r="P439" s="574"/>
      <c r="Q439" s="574"/>
      <c r="R439" s="574"/>
      <c r="S439" s="574"/>
      <c r="T439" s="574"/>
      <c r="U439" s="574"/>
      <c r="V439" s="574"/>
      <c r="W439" s="1"/>
    </row>
    <row r="440" spans="1:23" ht="14.4" x14ac:dyDescent="0.25">
      <c r="A440" s="150"/>
      <c r="B440" s="220" t="s">
        <v>205</v>
      </c>
      <c r="C440" s="222">
        <v>18.98</v>
      </c>
      <c r="D440" s="131">
        <v>17.93</v>
      </c>
      <c r="E440" s="33">
        <v>1</v>
      </c>
      <c r="F440" s="29"/>
      <c r="G440" s="30"/>
      <c r="H440" s="30">
        <f t="shared" ref="H440:H481" si="112">C440*E440</f>
        <v>18.98</v>
      </c>
      <c r="I440" s="156"/>
      <c r="J440" s="156"/>
      <c r="K440" s="156"/>
      <c r="L440" s="156"/>
      <c r="M440" s="156"/>
      <c r="N440" s="156"/>
      <c r="O440" s="156"/>
      <c r="P440" s="156"/>
      <c r="Q440" s="156"/>
      <c r="R440" s="31"/>
      <c r="S440" s="31">
        <f>H440</f>
        <v>18.98</v>
      </c>
      <c r="T440" s="31"/>
      <c r="U440" s="31">
        <f t="shared" ref="U440:U477" si="113">D440*E440</f>
        <v>17.93</v>
      </c>
      <c r="V440" s="31"/>
      <c r="W440" s="1"/>
    </row>
    <row r="441" spans="1:23" ht="14.4" x14ac:dyDescent="0.25">
      <c r="A441" s="150"/>
      <c r="B441" s="15" t="s">
        <v>229</v>
      </c>
      <c r="C441" s="73">
        <v>0.45</v>
      </c>
      <c r="D441" s="131">
        <v>3.86</v>
      </c>
      <c r="E441" s="33">
        <v>1</v>
      </c>
      <c r="F441" s="29"/>
      <c r="G441" s="30"/>
      <c r="H441" s="30"/>
      <c r="I441" s="156"/>
      <c r="J441" s="156"/>
      <c r="K441" s="156"/>
      <c r="L441" s="156"/>
      <c r="M441" s="156"/>
      <c r="N441" s="156"/>
      <c r="O441" s="156"/>
      <c r="P441" s="156"/>
      <c r="Q441" s="156"/>
      <c r="R441" s="31"/>
      <c r="S441" s="31"/>
      <c r="T441" s="31"/>
      <c r="U441" s="31"/>
      <c r="V441" s="31"/>
      <c r="W441" s="1"/>
    </row>
    <row r="442" spans="1:23" ht="14.4" x14ac:dyDescent="0.25">
      <c r="A442" s="150"/>
      <c r="B442" s="15" t="s">
        <v>168</v>
      </c>
      <c r="C442" s="73">
        <v>8.68</v>
      </c>
      <c r="D442" s="131">
        <v>14.53</v>
      </c>
      <c r="E442" s="33">
        <v>1</v>
      </c>
      <c r="F442" s="29"/>
      <c r="G442" s="30"/>
      <c r="H442" s="30">
        <f t="shared" si="112"/>
        <v>8.68</v>
      </c>
      <c r="I442" s="156"/>
      <c r="J442" s="156"/>
      <c r="K442" s="156"/>
      <c r="L442" s="156"/>
      <c r="M442" s="156"/>
      <c r="N442" s="156"/>
      <c r="O442" s="156"/>
      <c r="P442" s="156"/>
      <c r="Q442" s="156"/>
      <c r="R442" s="31"/>
      <c r="S442" s="31">
        <f>H442</f>
        <v>8.68</v>
      </c>
      <c r="T442" s="31"/>
      <c r="U442" s="31"/>
      <c r="V442" s="31"/>
      <c r="W442" s="1"/>
    </row>
    <row r="443" spans="1:23" ht="14.4" x14ac:dyDescent="0.25">
      <c r="A443" s="150"/>
      <c r="B443" s="15" t="s">
        <v>229</v>
      </c>
      <c r="C443" s="73">
        <v>3.03</v>
      </c>
      <c r="D443" s="131">
        <v>8.51</v>
      </c>
      <c r="E443" s="33">
        <v>1</v>
      </c>
      <c r="F443" s="29"/>
      <c r="G443" s="30"/>
      <c r="H443" s="30"/>
      <c r="I443" s="156"/>
      <c r="J443" s="156"/>
      <c r="K443" s="156"/>
      <c r="L443" s="156"/>
      <c r="M443" s="156"/>
      <c r="N443" s="156"/>
      <c r="O443" s="156"/>
      <c r="P443" s="156"/>
      <c r="Q443" s="156"/>
      <c r="R443" s="31"/>
      <c r="S443" s="31"/>
      <c r="T443" s="31"/>
      <c r="U443" s="31"/>
      <c r="V443" s="31"/>
      <c r="W443" s="1"/>
    </row>
    <row r="444" spans="1:23" ht="14.4" x14ac:dyDescent="0.25">
      <c r="A444" s="150"/>
      <c r="B444" s="220" t="s">
        <v>244</v>
      </c>
      <c r="C444" s="222">
        <v>16.86</v>
      </c>
      <c r="D444" s="131">
        <f>(17.23-5.83)+2.42</f>
        <v>13.82</v>
      </c>
      <c r="E444" s="33">
        <v>1</v>
      </c>
      <c r="F444" s="29"/>
      <c r="G444" s="30"/>
      <c r="H444" s="30">
        <f t="shared" si="112"/>
        <v>16.86</v>
      </c>
      <c r="I444" s="156"/>
      <c r="J444" s="156"/>
      <c r="K444" s="156"/>
      <c r="L444" s="156"/>
      <c r="M444" s="156"/>
      <c r="N444" s="156"/>
      <c r="O444" s="156"/>
      <c r="P444" s="156"/>
      <c r="Q444" s="156"/>
      <c r="R444" s="31"/>
      <c r="S444" s="31">
        <f>H444</f>
        <v>16.86</v>
      </c>
      <c r="T444" s="31"/>
      <c r="U444" s="31"/>
      <c r="V444" s="31"/>
      <c r="W444" s="1"/>
    </row>
    <row r="445" spans="1:23" ht="14.4" x14ac:dyDescent="0.25">
      <c r="A445" s="150"/>
      <c r="B445" s="220" t="s">
        <v>168</v>
      </c>
      <c r="C445" s="222">
        <v>10.63</v>
      </c>
      <c r="D445" s="131">
        <f>(13.09-6)+3.6</f>
        <v>10.69</v>
      </c>
      <c r="E445" s="33">
        <v>1</v>
      </c>
      <c r="F445" s="29"/>
      <c r="G445" s="30"/>
      <c r="H445" s="30">
        <f t="shared" si="112"/>
        <v>10.63</v>
      </c>
      <c r="I445" s="156"/>
      <c r="J445" s="156"/>
      <c r="K445" s="156"/>
      <c r="L445" s="156"/>
      <c r="M445" s="156"/>
      <c r="N445" s="156"/>
      <c r="O445" s="156"/>
      <c r="P445" s="156"/>
      <c r="Q445" s="156"/>
      <c r="R445" s="31"/>
      <c r="S445" s="31">
        <f>H445</f>
        <v>10.63</v>
      </c>
      <c r="T445" s="31"/>
      <c r="U445" s="31"/>
      <c r="V445" s="31"/>
      <c r="W445" s="1"/>
    </row>
    <row r="446" spans="1:23" ht="14.4" x14ac:dyDescent="0.25">
      <c r="A446" s="150"/>
      <c r="B446" s="15" t="s">
        <v>229</v>
      </c>
      <c r="C446" s="73">
        <v>1.1000000000000001</v>
      </c>
      <c r="D446" s="131">
        <v>7.44</v>
      </c>
      <c r="E446" s="33">
        <v>1</v>
      </c>
      <c r="F446" s="29"/>
      <c r="G446" s="30"/>
      <c r="H446" s="30"/>
      <c r="I446" s="156"/>
      <c r="J446" s="156"/>
      <c r="K446" s="156"/>
      <c r="L446" s="156"/>
      <c r="M446" s="156"/>
      <c r="N446" s="156"/>
      <c r="O446" s="156"/>
      <c r="P446" s="156"/>
      <c r="Q446" s="156"/>
      <c r="R446" s="31"/>
      <c r="S446" s="31"/>
      <c r="T446" s="31"/>
      <c r="U446" s="31"/>
      <c r="V446" s="31"/>
      <c r="W446" s="1"/>
    </row>
    <row r="447" spans="1:23" ht="14.4" x14ac:dyDescent="0.25">
      <c r="A447" s="150"/>
      <c r="B447" s="15" t="s">
        <v>245</v>
      </c>
      <c r="C447" s="73">
        <v>12.11</v>
      </c>
      <c r="D447" s="131">
        <v>14.39</v>
      </c>
      <c r="E447" s="33">
        <v>1</v>
      </c>
      <c r="F447" s="29"/>
      <c r="G447" s="30"/>
      <c r="H447" s="30">
        <f t="shared" si="112"/>
        <v>12.11</v>
      </c>
      <c r="I447" s="156"/>
      <c r="J447" s="156"/>
      <c r="K447" s="156"/>
      <c r="L447" s="156"/>
      <c r="M447" s="156"/>
      <c r="N447" s="156"/>
      <c r="O447" s="156"/>
      <c r="P447" s="156"/>
      <c r="Q447" s="156"/>
      <c r="R447" s="31"/>
      <c r="S447" s="31">
        <f t="shared" ref="S447:S481" si="114">H447</f>
        <v>12.11</v>
      </c>
      <c r="T447" s="31"/>
      <c r="U447" s="31">
        <f t="shared" si="113"/>
        <v>14.39</v>
      </c>
      <c r="V447" s="31"/>
      <c r="W447" s="1"/>
    </row>
    <row r="448" spans="1:23" ht="14.4" x14ac:dyDescent="0.25">
      <c r="A448" s="150"/>
      <c r="B448" s="15" t="s">
        <v>246</v>
      </c>
      <c r="C448" s="73">
        <v>10.18</v>
      </c>
      <c r="D448" s="131">
        <f>(13.45-2.34)+11.06</f>
        <v>22.17</v>
      </c>
      <c r="E448" s="33">
        <v>1</v>
      </c>
      <c r="F448" s="29"/>
      <c r="G448" s="30"/>
      <c r="H448" s="30">
        <f t="shared" si="112"/>
        <v>10.18</v>
      </c>
      <c r="I448" s="156"/>
      <c r="J448" s="156"/>
      <c r="K448" s="156"/>
      <c r="L448" s="156"/>
      <c r="M448" s="156"/>
      <c r="N448" s="156"/>
      <c r="O448" s="156"/>
      <c r="P448" s="156"/>
      <c r="Q448" s="156"/>
      <c r="R448" s="31"/>
      <c r="S448" s="31">
        <f t="shared" si="114"/>
        <v>10.18</v>
      </c>
      <c r="T448" s="31"/>
      <c r="U448" s="31"/>
      <c r="V448" s="31"/>
      <c r="W448" s="1"/>
    </row>
    <row r="449" spans="1:23" ht="14.4" x14ac:dyDescent="0.25">
      <c r="A449" s="150"/>
      <c r="B449" s="15" t="s">
        <v>168</v>
      </c>
      <c r="C449" s="73">
        <v>7.72</v>
      </c>
      <c r="D449" s="131">
        <v>12.87</v>
      </c>
      <c r="E449" s="33">
        <v>1</v>
      </c>
      <c r="F449" s="29"/>
      <c r="G449" s="30"/>
      <c r="H449" s="30">
        <f t="shared" si="112"/>
        <v>7.72</v>
      </c>
      <c r="I449" s="156"/>
      <c r="J449" s="156"/>
      <c r="K449" s="156"/>
      <c r="L449" s="156"/>
      <c r="M449" s="156"/>
      <c r="N449" s="156"/>
      <c r="O449" s="156"/>
      <c r="P449" s="156"/>
      <c r="Q449" s="156"/>
      <c r="R449" s="31"/>
      <c r="S449" s="31">
        <f t="shared" si="114"/>
        <v>7.72</v>
      </c>
      <c r="T449" s="31"/>
      <c r="U449" s="31"/>
      <c r="V449" s="31"/>
      <c r="W449" s="1"/>
    </row>
    <row r="450" spans="1:23" ht="14.4" x14ac:dyDescent="0.25">
      <c r="A450" s="150"/>
      <c r="B450" s="15" t="s">
        <v>247</v>
      </c>
      <c r="C450" s="73">
        <v>5.0999999999999996</v>
      </c>
      <c r="D450" s="131">
        <v>9.27</v>
      </c>
      <c r="E450" s="33">
        <v>1</v>
      </c>
      <c r="F450" s="29"/>
      <c r="G450" s="30"/>
      <c r="H450" s="30">
        <f t="shared" si="112"/>
        <v>5.0999999999999996</v>
      </c>
      <c r="I450" s="156"/>
      <c r="J450" s="156"/>
      <c r="K450" s="156"/>
      <c r="L450" s="156"/>
      <c r="M450" s="156"/>
      <c r="N450" s="156"/>
      <c r="O450" s="156"/>
      <c r="P450" s="156"/>
      <c r="Q450" s="156"/>
      <c r="R450" s="31"/>
      <c r="S450" s="31">
        <f t="shared" si="114"/>
        <v>5.0999999999999996</v>
      </c>
      <c r="T450" s="31"/>
      <c r="U450" s="31">
        <f t="shared" si="113"/>
        <v>9.27</v>
      </c>
      <c r="V450" s="31"/>
      <c r="W450" s="1"/>
    </row>
    <row r="451" spans="1:23" ht="14.4" x14ac:dyDescent="0.25">
      <c r="A451" s="150"/>
      <c r="B451" s="220" t="s">
        <v>248</v>
      </c>
      <c r="C451" s="222">
        <v>18.18</v>
      </c>
      <c r="D451" s="131">
        <v>17.88</v>
      </c>
      <c r="E451" s="33">
        <v>1</v>
      </c>
      <c r="F451" s="29"/>
      <c r="G451" s="30"/>
      <c r="H451" s="30">
        <f t="shared" si="112"/>
        <v>18.18</v>
      </c>
      <c r="I451" s="156"/>
      <c r="J451" s="156"/>
      <c r="K451" s="156"/>
      <c r="L451" s="156"/>
      <c r="M451" s="156"/>
      <c r="N451" s="156"/>
      <c r="O451" s="156"/>
      <c r="P451" s="156"/>
      <c r="Q451" s="156"/>
      <c r="R451" s="31"/>
      <c r="S451" s="31">
        <f t="shared" si="114"/>
        <v>18.18</v>
      </c>
      <c r="T451" s="31"/>
      <c r="U451" s="31">
        <f t="shared" si="113"/>
        <v>17.88</v>
      </c>
      <c r="V451" s="31"/>
      <c r="W451" s="1"/>
    </row>
    <row r="452" spans="1:23" ht="14.4" x14ac:dyDescent="0.25">
      <c r="A452" s="150"/>
      <c r="B452" s="15" t="s">
        <v>249</v>
      </c>
      <c r="C452" s="73">
        <v>9.64</v>
      </c>
      <c r="D452" s="131">
        <v>12.71</v>
      </c>
      <c r="E452" s="33">
        <v>1</v>
      </c>
      <c r="F452" s="29"/>
      <c r="G452" s="30"/>
      <c r="H452" s="30">
        <f t="shared" si="112"/>
        <v>9.64</v>
      </c>
      <c r="I452" s="156"/>
      <c r="J452" s="156"/>
      <c r="K452" s="156"/>
      <c r="L452" s="156"/>
      <c r="M452" s="156"/>
      <c r="N452" s="156"/>
      <c r="O452" s="156"/>
      <c r="P452" s="156"/>
      <c r="Q452" s="156"/>
      <c r="R452" s="31"/>
      <c r="S452" s="31">
        <f t="shared" si="114"/>
        <v>9.64</v>
      </c>
      <c r="T452" s="31"/>
      <c r="U452" s="31">
        <f t="shared" si="113"/>
        <v>12.71</v>
      </c>
      <c r="V452" s="31"/>
      <c r="W452" s="1"/>
    </row>
    <row r="453" spans="1:23" ht="14.4" x14ac:dyDescent="0.25">
      <c r="A453" s="150"/>
      <c r="B453" s="15" t="s">
        <v>320</v>
      </c>
      <c r="C453" s="73">
        <v>17.41</v>
      </c>
      <c r="D453" s="131">
        <v>17.48</v>
      </c>
      <c r="E453" s="33">
        <v>1</v>
      </c>
      <c r="F453" s="29"/>
      <c r="G453" s="30"/>
      <c r="H453" s="30">
        <f t="shared" si="112"/>
        <v>17.41</v>
      </c>
      <c r="I453" s="156"/>
      <c r="J453" s="156"/>
      <c r="K453" s="156"/>
      <c r="L453" s="156"/>
      <c r="M453" s="156"/>
      <c r="N453" s="156"/>
      <c r="O453" s="156"/>
      <c r="P453" s="156"/>
      <c r="Q453" s="156"/>
      <c r="R453" s="31"/>
      <c r="S453" s="31">
        <f t="shared" si="114"/>
        <v>17.41</v>
      </c>
      <c r="T453" s="31"/>
      <c r="U453" s="31"/>
      <c r="V453" s="31"/>
      <c r="W453" s="1"/>
    </row>
    <row r="454" spans="1:23" ht="14.4" x14ac:dyDescent="0.25">
      <c r="A454" s="150"/>
      <c r="B454" s="15" t="s">
        <v>258</v>
      </c>
      <c r="C454" s="73">
        <v>5.4</v>
      </c>
      <c r="D454" s="131">
        <v>9.4</v>
      </c>
      <c r="E454" s="33">
        <v>1</v>
      </c>
      <c r="F454" s="29"/>
      <c r="G454" s="30"/>
      <c r="H454" s="30">
        <f t="shared" si="112"/>
        <v>5.4</v>
      </c>
      <c r="I454" s="156"/>
      <c r="J454" s="156"/>
      <c r="K454" s="156"/>
      <c r="L454" s="156"/>
      <c r="M454" s="156"/>
      <c r="N454" s="156"/>
      <c r="O454" s="156"/>
      <c r="P454" s="156"/>
      <c r="Q454" s="156"/>
      <c r="R454" s="31"/>
      <c r="S454" s="31">
        <f t="shared" si="114"/>
        <v>5.4</v>
      </c>
      <c r="T454" s="31"/>
      <c r="U454" s="31"/>
      <c r="V454" s="31"/>
      <c r="W454" s="1"/>
    </row>
    <row r="455" spans="1:23" ht="14.4" x14ac:dyDescent="0.25">
      <c r="A455" s="150"/>
      <c r="B455" s="15" t="s">
        <v>260</v>
      </c>
      <c r="C455" s="73">
        <v>4.59</v>
      </c>
      <c r="D455" s="131">
        <v>8.8000000000000007</v>
      </c>
      <c r="E455" s="33">
        <v>1</v>
      </c>
      <c r="F455" s="29"/>
      <c r="G455" s="30"/>
      <c r="H455" s="30">
        <f t="shared" si="112"/>
        <v>4.59</v>
      </c>
      <c r="I455" s="156"/>
      <c r="J455" s="156"/>
      <c r="K455" s="156"/>
      <c r="L455" s="156"/>
      <c r="M455" s="156"/>
      <c r="N455" s="156"/>
      <c r="O455" s="156"/>
      <c r="P455" s="156"/>
      <c r="Q455" s="156"/>
      <c r="R455" s="31">
        <f>H455</f>
        <v>4.59</v>
      </c>
      <c r="S455" s="31"/>
      <c r="T455" s="31"/>
      <c r="U455" s="31"/>
      <c r="V455" s="31">
        <f>D455*E455</f>
        <v>8.8000000000000007</v>
      </c>
      <c r="W455" s="1"/>
    </row>
    <row r="456" spans="1:23" ht="14.4" x14ac:dyDescent="0.25">
      <c r="A456" s="150"/>
      <c r="B456" s="15" t="s">
        <v>321</v>
      </c>
      <c r="C456" s="73">
        <v>8.4700000000000006</v>
      </c>
      <c r="D456" s="131">
        <v>12.06</v>
      </c>
      <c r="E456" s="33">
        <v>1</v>
      </c>
      <c r="F456" s="29"/>
      <c r="G456" s="30"/>
      <c r="H456" s="30">
        <f t="shared" si="112"/>
        <v>8.4700000000000006</v>
      </c>
      <c r="I456" s="156"/>
      <c r="J456" s="156"/>
      <c r="K456" s="156"/>
      <c r="L456" s="156"/>
      <c r="M456" s="156"/>
      <c r="N456" s="156"/>
      <c r="O456" s="156"/>
      <c r="P456" s="156"/>
      <c r="Q456" s="156"/>
      <c r="R456" s="31"/>
      <c r="S456" s="31">
        <f t="shared" si="114"/>
        <v>8.4700000000000006</v>
      </c>
      <c r="T456" s="31"/>
      <c r="U456" s="31">
        <f t="shared" si="113"/>
        <v>12.06</v>
      </c>
      <c r="V456" s="31"/>
      <c r="W456" s="1"/>
    </row>
    <row r="457" spans="1:23" ht="14.4" x14ac:dyDescent="0.25">
      <c r="A457" s="150"/>
      <c r="B457" s="15" t="s">
        <v>168</v>
      </c>
      <c r="C457" s="73">
        <v>6.18</v>
      </c>
      <c r="D457" s="131">
        <v>11.5</v>
      </c>
      <c r="E457" s="33">
        <v>1</v>
      </c>
      <c r="F457" s="29"/>
      <c r="G457" s="30"/>
      <c r="H457" s="30">
        <f t="shared" si="112"/>
        <v>6.18</v>
      </c>
      <c r="I457" s="156"/>
      <c r="J457" s="156"/>
      <c r="K457" s="156"/>
      <c r="L457" s="156"/>
      <c r="M457" s="156"/>
      <c r="N457" s="156"/>
      <c r="O457" s="156"/>
      <c r="P457" s="156"/>
      <c r="Q457" s="156"/>
      <c r="R457" s="31"/>
      <c r="S457" s="31">
        <f t="shared" si="114"/>
        <v>6.18</v>
      </c>
      <c r="T457" s="31"/>
      <c r="U457" s="31"/>
      <c r="V457" s="31"/>
      <c r="W457" s="1"/>
    </row>
    <row r="458" spans="1:23" ht="14.4" x14ac:dyDescent="0.25">
      <c r="A458" s="150"/>
      <c r="B458" s="220" t="s">
        <v>263</v>
      </c>
      <c r="C458" s="222">
        <v>4.24</v>
      </c>
      <c r="D458" s="131">
        <v>8.19</v>
      </c>
      <c r="E458" s="33">
        <v>1</v>
      </c>
      <c r="F458" s="29"/>
      <c r="G458" s="30"/>
      <c r="H458" s="30">
        <f t="shared" si="112"/>
        <v>4.24</v>
      </c>
      <c r="I458" s="156"/>
      <c r="J458" s="156"/>
      <c r="K458" s="156"/>
      <c r="L458" s="156"/>
      <c r="M458" s="156"/>
      <c r="N458" s="156"/>
      <c r="O458" s="156"/>
      <c r="P458" s="156"/>
      <c r="Q458" s="156"/>
      <c r="R458" s="31"/>
      <c r="S458" s="31">
        <f t="shared" si="114"/>
        <v>4.24</v>
      </c>
      <c r="T458" s="31"/>
      <c r="U458" s="31">
        <f t="shared" si="113"/>
        <v>8.19</v>
      </c>
      <c r="V458" s="31"/>
      <c r="W458" s="1"/>
    </row>
    <row r="459" spans="1:23" ht="14.4" x14ac:dyDescent="0.25">
      <c r="A459" s="150"/>
      <c r="B459" s="220" t="s">
        <v>322</v>
      </c>
      <c r="C459" s="222">
        <v>7.05</v>
      </c>
      <c r="D459" s="131">
        <v>10.7</v>
      </c>
      <c r="E459" s="33">
        <v>1</v>
      </c>
      <c r="F459" s="29"/>
      <c r="G459" s="30"/>
      <c r="H459" s="30">
        <f t="shared" si="112"/>
        <v>7.05</v>
      </c>
      <c r="I459" s="156"/>
      <c r="J459" s="156"/>
      <c r="K459" s="156"/>
      <c r="L459" s="156"/>
      <c r="M459" s="156"/>
      <c r="N459" s="156"/>
      <c r="O459" s="156"/>
      <c r="P459" s="156"/>
      <c r="Q459" s="156"/>
      <c r="R459" s="31"/>
      <c r="S459" s="31">
        <f t="shared" si="114"/>
        <v>7.05</v>
      </c>
      <c r="T459" s="31"/>
      <c r="U459" s="31">
        <f t="shared" si="113"/>
        <v>10.7</v>
      </c>
      <c r="V459" s="31"/>
      <c r="W459" s="1"/>
    </row>
    <row r="460" spans="1:23" ht="14.4" x14ac:dyDescent="0.25">
      <c r="A460" s="150"/>
      <c r="B460" s="15" t="s">
        <v>331</v>
      </c>
      <c r="C460" s="73">
        <v>5.07</v>
      </c>
      <c r="D460" s="131">
        <v>9.4</v>
      </c>
      <c r="E460" s="33">
        <v>1</v>
      </c>
      <c r="F460" s="29"/>
      <c r="G460" s="30"/>
      <c r="H460" s="30">
        <f t="shared" si="112"/>
        <v>5.07</v>
      </c>
      <c r="I460" s="156"/>
      <c r="J460" s="156"/>
      <c r="K460" s="156"/>
      <c r="L460" s="156"/>
      <c r="M460" s="156"/>
      <c r="N460" s="156"/>
      <c r="O460" s="156"/>
      <c r="P460" s="156"/>
      <c r="Q460" s="156"/>
      <c r="R460" s="31"/>
      <c r="S460" s="31">
        <f t="shared" si="114"/>
        <v>5.07</v>
      </c>
      <c r="T460" s="31"/>
      <c r="U460" s="31">
        <f t="shared" si="113"/>
        <v>9.4</v>
      </c>
      <c r="V460" s="31"/>
      <c r="W460" s="1"/>
    </row>
    <row r="461" spans="1:23" ht="14.4" x14ac:dyDescent="0.25">
      <c r="A461" s="150"/>
      <c r="B461" s="15" t="s">
        <v>323</v>
      </c>
      <c r="C461" s="73">
        <v>4.1500000000000004</v>
      </c>
      <c r="D461" s="131">
        <v>8.15</v>
      </c>
      <c r="E461" s="33">
        <v>1</v>
      </c>
      <c r="F461" s="29"/>
      <c r="G461" s="30"/>
      <c r="H461" s="30">
        <f t="shared" si="112"/>
        <v>4.1500000000000004</v>
      </c>
      <c r="I461" s="156"/>
      <c r="J461" s="156"/>
      <c r="K461" s="156"/>
      <c r="L461" s="156"/>
      <c r="M461" s="156"/>
      <c r="N461" s="156"/>
      <c r="O461" s="156"/>
      <c r="P461" s="156"/>
      <c r="Q461" s="156"/>
      <c r="R461" s="31">
        <f>H461</f>
        <v>4.1500000000000004</v>
      </c>
      <c r="S461" s="31"/>
      <c r="T461" s="31"/>
      <c r="U461" s="31"/>
      <c r="V461" s="31">
        <f>D461*E461</f>
        <v>8.15</v>
      </c>
      <c r="W461" s="1"/>
    </row>
    <row r="462" spans="1:23" ht="14.4" x14ac:dyDescent="0.25">
      <c r="A462" s="150"/>
      <c r="B462" s="15" t="s">
        <v>324</v>
      </c>
      <c r="C462" s="73">
        <v>4.32</v>
      </c>
      <c r="D462" s="131">
        <v>8.32</v>
      </c>
      <c r="E462" s="33">
        <v>1</v>
      </c>
      <c r="F462" s="29"/>
      <c r="G462" s="30"/>
      <c r="H462" s="30">
        <f t="shared" si="112"/>
        <v>4.32</v>
      </c>
      <c r="I462" s="156"/>
      <c r="J462" s="156"/>
      <c r="K462" s="156"/>
      <c r="L462" s="156"/>
      <c r="M462" s="156"/>
      <c r="N462" s="156"/>
      <c r="O462" s="156"/>
      <c r="P462" s="156"/>
      <c r="Q462" s="156"/>
      <c r="R462" s="31">
        <f>H462</f>
        <v>4.32</v>
      </c>
      <c r="S462" s="31"/>
      <c r="T462" s="31"/>
      <c r="U462" s="31"/>
      <c r="V462" s="31">
        <f>D462*E462</f>
        <v>8.32</v>
      </c>
      <c r="W462" s="1"/>
    </row>
    <row r="463" spans="1:23" ht="14.4" x14ac:dyDescent="0.25">
      <c r="A463" s="150"/>
      <c r="B463" s="15" t="s">
        <v>168</v>
      </c>
      <c r="C463" s="73">
        <v>9.16</v>
      </c>
      <c r="D463" s="131">
        <v>16.470000000000002</v>
      </c>
      <c r="E463" s="33">
        <v>1</v>
      </c>
      <c r="F463" s="29"/>
      <c r="G463" s="30"/>
      <c r="H463" s="30">
        <f t="shared" si="112"/>
        <v>9.16</v>
      </c>
      <c r="I463" s="156"/>
      <c r="J463" s="156"/>
      <c r="K463" s="156"/>
      <c r="L463" s="156"/>
      <c r="M463" s="156"/>
      <c r="N463" s="156"/>
      <c r="O463" s="156"/>
      <c r="P463" s="156"/>
      <c r="Q463" s="156"/>
      <c r="R463" s="31"/>
      <c r="S463" s="31">
        <f t="shared" si="114"/>
        <v>9.16</v>
      </c>
      <c r="T463" s="31"/>
      <c r="U463" s="31"/>
      <c r="V463" s="31"/>
      <c r="W463" s="1"/>
    </row>
    <row r="464" spans="1:23" ht="14.4" x14ac:dyDescent="0.25">
      <c r="A464" s="150"/>
      <c r="B464" s="15" t="s">
        <v>325</v>
      </c>
      <c r="C464" s="73">
        <v>9.98</v>
      </c>
      <c r="D464" s="131">
        <v>13.21</v>
      </c>
      <c r="E464" s="33">
        <v>1</v>
      </c>
      <c r="F464" s="29"/>
      <c r="G464" s="30"/>
      <c r="H464" s="30">
        <f t="shared" si="112"/>
        <v>9.98</v>
      </c>
      <c r="I464" s="156"/>
      <c r="J464" s="156"/>
      <c r="K464" s="156"/>
      <c r="L464" s="156"/>
      <c r="M464" s="156"/>
      <c r="N464" s="156"/>
      <c r="O464" s="156"/>
      <c r="P464" s="156"/>
      <c r="Q464" s="156"/>
      <c r="R464" s="31"/>
      <c r="S464" s="31">
        <f t="shared" si="114"/>
        <v>9.98</v>
      </c>
      <c r="T464" s="31"/>
      <c r="U464" s="31">
        <f t="shared" si="113"/>
        <v>13.21</v>
      </c>
      <c r="V464" s="31"/>
      <c r="W464" s="1"/>
    </row>
    <row r="465" spans="1:23" ht="14.4" x14ac:dyDescent="0.25">
      <c r="A465" s="150"/>
      <c r="B465" s="15" t="s">
        <v>326</v>
      </c>
      <c r="C465" s="73">
        <v>10.24</v>
      </c>
      <c r="D465" s="131">
        <v>13.34</v>
      </c>
      <c r="E465" s="33">
        <v>1</v>
      </c>
      <c r="F465" s="29"/>
      <c r="G465" s="30"/>
      <c r="H465" s="30">
        <f t="shared" si="112"/>
        <v>10.24</v>
      </c>
      <c r="I465" s="156"/>
      <c r="J465" s="156"/>
      <c r="K465" s="156"/>
      <c r="L465" s="156"/>
      <c r="M465" s="156"/>
      <c r="N465" s="156"/>
      <c r="O465" s="156"/>
      <c r="P465" s="156"/>
      <c r="Q465" s="156"/>
      <c r="R465" s="31"/>
      <c r="S465" s="31">
        <f t="shared" si="114"/>
        <v>10.24</v>
      </c>
      <c r="T465" s="31"/>
      <c r="U465" s="31">
        <f t="shared" si="113"/>
        <v>13.34</v>
      </c>
      <c r="V465" s="31"/>
      <c r="W465" s="1"/>
    </row>
    <row r="466" spans="1:23" ht="14.4" x14ac:dyDescent="0.25">
      <c r="A466" s="150"/>
      <c r="B466" s="15" t="s">
        <v>327</v>
      </c>
      <c r="C466" s="73">
        <v>4.0599999999999996</v>
      </c>
      <c r="D466" s="131">
        <v>8.3000000000000007</v>
      </c>
      <c r="E466" s="33">
        <v>1</v>
      </c>
      <c r="F466" s="29"/>
      <c r="G466" s="30"/>
      <c r="H466" s="30">
        <f t="shared" si="112"/>
        <v>4.0599999999999996</v>
      </c>
      <c r="I466" s="156"/>
      <c r="J466" s="156"/>
      <c r="K466" s="156"/>
      <c r="L466" s="156"/>
      <c r="M466" s="156"/>
      <c r="N466" s="156"/>
      <c r="O466" s="156"/>
      <c r="P466" s="156"/>
      <c r="Q466" s="156"/>
      <c r="R466" s="31">
        <f>H466</f>
        <v>4.0599999999999996</v>
      </c>
      <c r="S466" s="31"/>
      <c r="T466" s="31"/>
      <c r="U466" s="31"/>
      <c r="V466" s="31">
        <f>D466*E466</f>
        <v>8.3000000000000007</v>
      </c>
      <c r="W466" s="1"/>
    </row>
    <row r="467" spans="1:23" ht="14.4" x14ac:dyDescent="0.25">
      <c r="A467" s="150"/>
      <c r="B467" s="15" t="s">
        <v>327</v>
      </c>
      <c r="C467" s="73">
        <v>4.18</v>
      </c>
      <c r="D467" s="131">
        <v>8.49</v>
      </c>
      <c r="E467" s="33">
        <v>1</v>
      </c>
      <c r="F467" s="29"/>
      <c r="G467" s="30"/>
      <c r="H467" s="30">
        <f t="shared" si="112"/>
        <v>4.18</v>
      </c>
      <c r="I467" s="156"/>
      <c r="J467" s="156"/>
      <c r="K467" s="156"/>
      <c r="L467" s="156"/>
      <c r="M467" s="156"/>
      <c r="N467" s="156"/>
      <c r="O467" s="156"/>
      <c r="P467" s="156"/>
      <c r="Q467" s="156"/>
      <c r="R467" s="31">
        <f>H467</f>
        <v>4.18</v>
      </c>
      <c r="S467" s="31"/>
      <c r="T467" s="31"/>
      <c r="U467" s="31"/>
      <c r="V467" s="31">
        <f>D467*E467</f>
        <v>8.49</v>
      </c>
      <c r="W467" s="1"/>
    </row>
    <row r="468" spans="1:23" ht="14.4" x14ac:dyDescent="0.25">
      <c r="A468" s="150"/>
      <c r="B468" s="15" t="s">
        <v>328</v>
      </c>
      <c r="C468" s="73">
        <v>1.92</v>
      </c>
      <c r="D468" s="131">
        <v>5.66</v>
      </c>
      <c r="E468" s="33">
        <v>1</v>
      </c>
      <c r="F468" s="29"/>
      <c r="G468" s="30"/>
      <c r="H468" s="30">
        <f t="shared" si="112"/>
        <v>1.92</v>
      </c>
      <c r="I468" s="156"/>
      <c r="J468" s="156"/>
      <c r="K468" s="156"/>
      <c r="L468" s="156"/>
      <c r="M468" s="156"/>
      <c r="N468" s="156"/>
      <c r="O468" s="156"/>
      <c r="P468" s="156"/>
      <c r="Q468" s="156"/>
      <c r="R468" s="31">
        <f t="shared" ref="R468:R469" si="115">H468</f>
        <v>1.92</v>
      </c>
      <c r="S468" s="31"/>
      <c r="T468" s="31"/>
      <c r="U468" s="31"/>
      <c r="V468" s="31">
        <f>D468*E468</f>
        <v>5.66</v>
      </c>
      <c r="W468" s="1"/>
    </row>
    <row r="469" spans="1:23" ht="14.4" x14ac:dyDescent="0.25">
      <c r="A469" s="150"/>
      <c r="B469" s="15" t="s">
        <v>329</v>
      </c>
      <c r="C469" s="73">
        <v>1.99</v>
      </c>
      <c r="D469" s="131">
        <v>5.74</v>
      </c>
      <c r="E469" s="33">
        <v>1</v>
      </c>
      <c r="F469" s="29"/>
      <c r="G469" s="30"/>
      <c r="H469" s="30">
        <f t="shared" si="112"/>
        <v>1.99</v>
      </c>
      <c r="I469" s="156"/>
      <c r="J469" s="156"/>
      <c r="K469" s="156"/>
      <c r="L469" s="156"/>
      <c r="M469" s="156"/>
      <c r="N469" s="156"/>
      <c r="O469" s="156"/>
      <c r="P469" s="156"/>
      <c r="Q469" s="156"/>
      <c r="R469" s="31">
        <f t="shared" si="115"/>
        <v>1.99</v>
      </c>
      <c r="S469" s="31"/>
      <c r="T469" s="31"/>
      <c r="U469" s="31"/>
      <c r="V469" s="31">
        <f>D469*E469</f>
        <v>5.74</v>
      </c>
      <c r="W469" s="1"/>
    </row>
    <row r="470" spans="1:23" ht="14.4" x14ac:dyDescent="0.25">
      <c r="A470" s="150"/>
      <c r="B470" s="15" t="s">
        <v>257</v>
      </c>
      <c r="C470" s="73">
        <v>7.02</v>
      </c>
      <c r="D470" s="131">
        <v>10.63</v>
      </c>
      <c r="E470" s="33">
        <v>1</v>
      </c>
      <c r="F470" s="29"/>
      <c r="G470" s="30"/>
      <c r="H470" s="30">
        <f t="shared" si="112"/>
        <v>7.02</v>
      </c>
      <c r="I470" s="156"/>
      <c r="J470" s="156"/>
      <c r="K470" s="156"/>
      <c r="L470" s="156"/>
      <c r="M470" s="156"/>
      <c r="N470" s="156"/>
      <c r="O470" s="156"/>
      <c r="P470" s="156"/>
      <c r="Q470" s="156">
        <f>H470</f>
        <v>7.02</v>
      </c>
      <c r="R470" s="31"/>
      <c r="S470" s="31"/>
      <c r="T470" s="31"/>
      <c r="U470" s="31"/>
      <c r="V470" s="31"/>
      <c r="W470" s="1"/>
    </row>
    <row r="471" spans="1:23" ht="14.4" x14ac:dyDescent="0.25">
      <c r="A471" s="150"/>
      <c r="B471" s="15" t="s">
        <v>158</v>
      </c>
      <c r="C471" s="73">
        <v>3.43</v>
      </c>
      <c r="D471" s="131">
        <v>7.7</v>
      </c>
      <c r="E471" s="33">
        <v>1</v>
      </c>
      <c r="F471" s="29"/>
      <c r="G471" s="30"/>
      <c r="H471" s="30">
        <f t="shared" si="112"/>
        <v>3.43</v>
      </c>
      <c r="I471" s="156"/>
      <c r="J471" s="156"/>
      <c r="K471" s="156"/>
      <c r="L471" s="156"/>
      <c r="M471" s="156"/>
      <c r="N471" s="156"/>
      <c r="O471" s="156"/>
      <c r="P471" s="156"/>
      <c r="Q471" s="156">
        <f>H471</f>
        <v>3.43</v>
      </c>
      <c r="R471" s="31"/>
      <c r="S471" s="31"/>
      <c r="T471" s="31"/>
      <c r="U471" s="31"/>
      <c r="V471" s="31"/>
      <c r="W471" s="1"/>
    </row>
    <row r="472" spans="1:23" ht="14.4" x14ac:dyDescent="0.25">
      <c r="A472" s="150"/>
      <c r="B472" s="220" t="s">
        <v>177</v>
      </c>
      <c r="C472" s="222">
        <v>5.62</v>
      </c>
      <c r="D472" s="131">
        <v>10.130000000000001</v>
      </c>
      <c r="E472" s="33">
        <v>1</v>
      </c>
      <c r="F472" s="29"/>
      <c r="G472" s="30"/>
      <c r="H472" s="30">
        <f t="shared" si="112"/>
        <v>5.62</v>
      </c>
      <c r="I472" s="156"/>
      <c r="J472" s="156"/>
      <c r="K472" s="156"/>
      <c r="L472" s="156"/>
      <c r="M472" s="156"/>
      <c r="N472" s="156"/>
      <c r="O472" s="156"/>
      <c r="P472" s="156">
        <f>H472</f>
        <v>5.62</v>
      </c>
      <c r="Q472" s="156"/>
      <c r="R472" s="31"/>
      <c r="S472" s="31"/>
      <c r="T472" s="31"/>
      <c r="U472" s="31"/>
      <c r="V472" s="31"/>
      <c r="W472" s="1"/>
    </row>
    <row r="473" spans="1:23" ht="14.4" x14ac:dyDescent="0.25">
      <c r="A473" s="150"/>
      <c r="B473" s="220" t="s">
        <v>168</v>
      </c>
      <c r="C473" s="222">
        <v>97.21</v>
      </c>
      <c r="D473" s="131">
        <v>85.89</v>
      </c>
      <c r="E473" s="33">
        <v>1</v>
      </c>
      <c r="F473" s="29"/>
      <c r="G473" s="30"/>
      <c r="H473" s="30">
        <f t="shared" si="112"/>
        <v>97.21</v>
      </c>
      <c r="I473" s="156"/>
      <c r="J473" s="156"/>
      <c r="K473" s="156"/>
      <c r="L473" s="156"/>
      <c r="M473" s="156"/>
      <c r="N473" s="156"/>
      <c r="O473" s="156"/>
      <c r="P473" s="156"/>
      <c r="Q473" s="156"/>
      <c r="R473" s="31"/>
      <c r="S473" s="31">
        <f t="shared" si="114"/>
        <v>97.21</v>
      </c>
      <c r="T473" s="31"/>
      <c r="U473" s="31"/>
      <c r="V473" s="31"/>
      <c r="W473" s="1"/>
    </row>
    <row r="474" spans="1:23" ht="14.4" x14ac:dyDescent="0.25">
      <c r="A474" s="150"/>
      <c r="B474" s="15" t="s">
        <v>260</v>
      </c>
      <c r="C474" s="73">
        <v>4.46</v>
      </c>
      <c r="D474" s="131">
        <v>8.6999999999999993</v>
      </c>
      <c r="E474" s="33">
        <v>6</v>
      </c>
      <c r="F474" s="29"/>
      <c r="G474" s="30"/>
      <c r="H474" s="30">
        <f t="shared" si="112"/>
        <v>26.759999999999998</v>
      </c>
      <c r="I474" s="156"/>
      <c r="J474" s="156"/>
      <c r="K474" s="156"/>
      <c r="L474" s="156"/>
      <c r="M474" s="156"/>
      <c r="N474" s="156"/>
      <c r="O474" s="156"/>
      <c r="P474" s="156"/>
      <c r="Q474" s="156"/>
      <c r="R474" s="31">
        <f>H474</f>
        <v>26.759999999999998</v>
      </c>
      <c r="S474" s="31"/>
      <c r="T474" s="31"/>
      <c r="U474" s="31"/>
      <c r="V474" s="31">
        <f>D474*E474</f>
        <v>52.199999999999996</v>
      </c>
      <c r="W474" s="1"/>
    </row>
    <row r="475" spans="1:23" ht="14.4" x14ac:dyDescent="0.25">
      <c r="A475" s="150"/>
      <c r="B475" s="220" t="s">
        <v>260</v>
      </c>
      <c r="C475" s="222">
        <v>4.45</v>
      </c>
      <c r="D475" s="131">
        <v>8.6999999999999993</v>
      </c>
      <c r="E475" s="33">
        <v>2</v>
      </c>
      <c r="F475" s="29"/>
      <c r="G475" s="30"/>
      <c r="H475" s="30">
        <f t="shared" si="112"/>
        <v>8.9</v>
      </c>
      <c r="I475" s="156"/>
      <c r="J475" s="156"/>
      <c r="K475" s="156"/>
      <c r="L475" s="156"/>
      <c r="M475" s="156"/>
      <c r="N475" s="156"/>
      <c r="O475" s="156"/>
      <c r="P475" s="156"/>
      <c r="Q475" s="156"/>
      <c r="R475" s="31">
        <f t="shared" ref="R475:R476" si="116">H475</f>
        <v>8.9</v>
      </c>
      <c r="S475" s="31"/>
      <c r="T475" s="31"/>
      <c r="U475" s="31"/>
      <c r="V475" s="31">
        <f>D475*E475</f>
        <v>17.399999999999999</v>
      </c>
      <c r="W475" s="1"/>
    </row>
    <row r="476" spans="1:23" ht="14.4" x14ac:dyDescent="0.25">
      <c r="A476" s="150"/>
      <c r="B476" s="15" t="s">
        <v>260</v>
      </c>
      <c r="C476" s="73">
        <v>4.59</v>
      </c>
      <c r="D476" s="131">
        <v>8.8000000000000007</v>
      </c>
      <c r="E476" s="33">
        <v>2</v>
      </c>
      <c r="F476" s="29"/>
      <c r="G476" s="30"/>
      <c r="H476" s="30">
        <f t="shared" si="112"/>
        <v>9.18</v>
      </c>
      <c r="I476" s="156"/>
      <c r="J476" s="156"/>
      <c r="K476" s="156"/>
      <c r="L476" s="156"/>
      <c r="M476" s="156"/>
      <c r="N476" s="156"/>
      <c r="O476" s="156"/>
      <c r="P476" s="156"/>
      <c r="Q476" s="156"/>
      <c r="R476" s="31">
        <f t="shared" si="116"/>
        <v>9.18</v>
      </c>
      <c r="S476" s="31"/>
      <c r="T476" s="31"/>
      <c r="U476" s="31"/>
      <c r="V476" s="31">
        <f>D476*E476</f>
        <v>17.600000000000001</v>
      </c>
      <c r="W476" s="1"/>
    </row>
    <row r="477" spans="1:23" ht="14.4" x14ac:dyDescent="0.25">
      <c r="A477" s="150"/>
      <c r="B477" s="15" t="s">
        <v>269</v>
      </c>
      <c r="C477" s="73">
        <v>2.13</v>
      </c>
      <c r="D477" s="131">
        <v>5.9</v>
      </c>
      <c r="E477" s="33">
        <v>1</v>
      </c>
      <c r="F477" s="29"/>
      <c r="G477" s="30"/>
      <c r="H477" s="30">
        <f t="shared" si="112"/>
        <v>2.13</v>
      </c>
      <c r="I477" s="156"/>
      <c r="J477" s="156"/>
      <c r="K477" s="156"/>
      <c r="L477" s="156"/>
      <c r="M477" s="156"/>
      <c r="N477" s="156"/>
      <c r="O477" s="156"/>
      <c r="P477" s="156"/>
      <c r="Q477" s="156"/>
      <c r="R477" s="31"/>
      <c r="S477" s="31">
        <f t="shared" si="114"/>
        <v>2.13</v>
      </c>
      <c r="T477" s="31"/>
      <c r="U477" s="31">
        <f t="shared" si="113"/>
        <v>5.9</v>
      </c>
      <c r="V477" s="31"/>
      <c r="W477" s="1"/>
    </row>
    <row r="478" spans="1:23" ht="14.4" x14ac:dyDescent="0.25">
      <c r="A478" s="150"/>
      <c r="B478" s="220" t="s">
        <v>265</v>
      </c>
      <c r="C478" s="222">
        <v>51.55</v>
      </c>
      <c r="D478" s="131">
        <v>35.24</v>
      </c>
      <c r="E478" s="33">
        <v>1</v>
      </c>
      <c r="F478" s="29"/>
      <c r="G478" s="30"/>
      <c r="H478" s="30">
        <f t="shared" si="112"/>
        <v>51.55</v>
      </c>
      <c r="I478" s="156"/>
      <c r="J478" s="156"/>
      <c r="K478" s="156"/>
      <c r="L478" s="156"/>
      <c r="M478" s="156"/>
      <c r="N478" s="156"/>
      <c r="O478" s="156"/>
      <c r="P478" s="156"/>
      <c r="Q478" s="156"/>
      <c r="R478" s="31"/>
      <c r="S478" s="31">
        <f t="shared" si="114"/>
        <v>51.55</v>
      </c>
      <c r="T478" s="31"/>
      <c r="U478" s="31"/>
      <c r="V478" s="31"/>
      <c r="W478" s="1"/>
    </row>
    <row r="479" spans="1:23" ht="14.4" x14ac:dyDescent="0.25">
      <c r="A479" s="150"/>
      <c r="B479" s="220" t="s">
        <v>266</v>
      </c>
      <c r="C479" s="222">
        <v>28.38</v>
      </c>
      <c r="D479" s="131">
        <v>21.18</v>
      </c>
      <c r="E479" s="33">
        <v>3</v>
      </c>
      <c r="F479" s="29"/>
      <c r="G479" s="30"/>
      <c r="H479" s="30">
        <f t="shared" si="112"/>
        <v>85.14</v>
      </c>
      <c r="I479" s="156"/>
      <c r="J479" s="156"/>
      <c r="K479" s="156"/>
      <c r="L479" s="156"/>
      <c r="M479" s="156"/>
      <c r="N479" s="156"/>
      <c r="O479" s="156"/>
      <c r="P479" s="156"/>
      <c r="Q479" s="156"/>
      <c r="R479" s="31"/>
      <c r="S479" s="31">
        <f t="shared" si="114"/>
        <v>85.14</v>
      </c>
      <c r="T479" s="31"/>
      <c r="U479" s="31"/>
      <c r="V479" s="31"/>
      <c r="W479" s="1"/>
    </row>
    <row r="480" spans="1:23" ht="14.4" x14ac:dyDescent="0.25">
      <c r="A480" s="150"/>
      <c r="B480" s="220" t="s">
        <v>267</v>
      </c>
      <c r="C480" s="222">
        <v>31.08</v>
      </c>
      <c r="D480" s="131">
        <v>22.58</v>
      </c>
      <c r="E480" s="33">
        <v>5</v>
      </c>
      <c r="F480" s="29"/>
      <c r="G480" s="30"/>
      <c r="H480" s="30">
        <f t="shared" si="112"/>
        <v>155.39999999999998</v>
      </c>
      <c r="I480" s="156"/>
      <c r="J480" s="156"/>
      <c r="K480" s="156"/>
      <c r="L480" s="156"/>
      <c r="M480" s="156"/>
      <c r="N480" s="156"/>
      <c r="O480" s="156"/>
      <c r="P480" s="156"/>
      <c r="Q480" s="156"/>
      <c r="R480" s="31"/>
      <c r="S480" s="31">
        <f t="shared" si="114"/>
        <v>155.39999999999998</v>
      </c>
      <c r="T480" s="31"/>
      <c r="U480" s="31"/>
      <c r="V480" s="31"/>
      <c r="W480" s="1"/>
    </row>
    <row r="481" spans="1:23" ht="14.4" x14ac:dyDescent="0.25">
      <c r="A481" s="150"/>
      <c r="B481" s="220" t="s">
        <v>265</v>
      </c>
      <c r="C481" s="222">
        <v>48.78</v>
      </c>
      <c r="D481" s="131">
        <v>30.49</v>
      </c>
      <c r="E481" s="33">
        <v>1</v>
      </c>
      <c r="F481" s="29"/>
      <c r="G481" s="30"/>
      <c r="H481" s="30">
        <f t="shared" si="112"/>
        <v>48.78</v>
      </c>
      <c r="I481" s="156"/>
      <c r="J481" s="156"/>
      <c r="K481" s="156"/>
      <c r="L481" s="156"/>
      <c r="M481" s="156"/>
      <c r="N481" s="156"/>
      <c r="O481" s="156"/>
      <c r="P481" s="156"/>
      <c r="Q481" s="156"/>
      <c r="R481" s="31"/>
      <c r="S481" s="31">
        <f t="shared" si="114"/>
        <v>48.78</v>
      </c>
      <c r="T481" s="31"/>
      <c r="U481" s="31"/>
      <c r="V481" s="31"/>
      <c r="W481" s="1"/>
    </row>
    <row r="482" spans="1:23" ht="14.4" x14ac:dyDescent="0.25">
      <c r="A482" s="150"/>
      <c r="B482" s="15" t="s">
        <v>229</v>
      </c>
      <c r="C482" s="73">
        <v>1.65</v>
      </c>
      <c r="D482" s="131">
        <v>7.45</v>
      </c>
      <c r="E482" s="33">
        <v>1</v>
      </c>
      <c r="F482" s="29"/>
      <c r="G482" s="30"/>
      <c r="H482" s="30"/>
      <c r="I482" s="156"/>
      <c r="J482" s="156"/>
      <c r="K482" s="156"/>
      <c r="L482" s="156"/>
      <c r="M482" s="156"/>
      <c r="N482" s="156"/>
      <c r="O482" s="156"/>
      <c r="P482" s="156"/>
      <c r="Q482" s="156"/>
      <c r="R482" s="31"/>
      <c r="S482" s="31"/>
      <c r="T482" s="31"/>
      <c r="U482" s="31"/>
      <c r="V482" s="31"/>
      <c r="W482" s="1"/>
    </row>
    <row r="483" spans="1:23" ht="19.95" customHeight="1" x14ac:dyDescent="0.25">
      <c r="B483" s="128" t="s">
        <v>22</v>
      </c>
      <c r="C483" s="129">
        <f>SUM(C433:C482)</f>
        <v>635.57999999999993</v>
      </c>
      <c r="D483" s="129"/>
      <c r="E483" s="129"/>
      <c r="F483" s="129"/>
      <c r="G483" s="129">
        <f t="shared" ref="G483:V483" si="117">SUM(G433:G482)</f>
        <v>0</v>
      </c>
      <c r="H483" s="129">
        <f t="shared" si="117"/>
        <v>822.18999999999994</v>
      </c>
      <c r="I483" s="129">
        <f t="shared" si="117"/>
        <v>0</v>
      </c>
      <c r="J483" s="129">
        <f t="shared" si="117"/>
        <v>0</v>
      </c>
      <c r="K483" s="129">
        <f t="shared" si="117"/>
        <v>0</v>
      </c>
      <c r="L483" s="129">
        <f t="shared" si="117"/>
        <v>0</v>
      </c>
      <c r="M483" s="129">
        <f t="shared" si="117"/>
        <v>0</v>
      </c>
      <c r="N483" s="129">
        <f t="shared" si="117"/>
        <v>0</v>
      </c>
      <c r="O483" s="129">
        <f t="shared" si="117"/>
        <v>0</v>
      </c>
      <c r="P483" s="129">
        <f t="shared" si="117"/>
        <v>58.72</v>
      </c>
      <c r="Q483" s="129">
        <f t="shared" si="117"/>
        <v>10.45</v>
      </c>
      <c r="R483" s="129">
        <f t="shared" si="117"/>
        <v>70.05</v>
      </c>
      <c r="S483" s="129">
        <f t="shared" si="117"/>
        <v>682.97</v>
      </c>
      <c r="T483" s="129">
        <f t="shared" si="117"/>
        <v>0</v>
      </c>
      <c r="U483" s="129">
        <f t="shared" si="117"/>
        <v>187.58</v>
      </c>
      <c r="V483" s="129">
        <f t="shared" si="117"/>
        <v>140.66</v>
      </c>
      <c r="W483" s="1"/>
    </row>
    <row r="484" spans="1:23" ht="19.95" customHeight="1" x14ac:dyDescent="0.25">
      <c r="B484" s="267"/>
      <c r="C484" s="265"/>
      <c r="D484" s="266"/>
      <c r="E484" s="129"/>
      <c r="F484" s="129"/>
      <c r="G484" s="129"/>
      <c r="H484" s="129"/>
      <c r="I484" s="141">
        <v>7</v>
      </c>
      <c r="J484" s="141">
        <v>8</v>
      </c>
      <c r="K484" s="141">
        <v>9</v>
      </c>
      <c r="L484" s="141">
        <v>12</v>
      </c>
      <c r="M484" s="141">
        <v>13</v>
      </c>
      <c r="N484" s="141">
        <v>14</v>
      </c>
      <c r="O484" s="224">
        <v>5</v>
      </c>
      <c r="P484" s="224">
        <v>4</v>
      </c>
      <c r="Q484" s="224">
        <v>2</v>
      </c>
      <c r="R484" s="224">
        <v>3</v>
      </c>
      <c r="S484" s="224">
        <v>1</v>
      </c>
      <c r="T484" s="224">
        <v>5</v>
      </c>
      <c r="U484" s="224">
        <v>1</v>
      </c>
      <c r="V484" s="224">
        <v>3</v>
      </c>
      <c r="W484" s="1"/>
    </row>
    <row r="485" spans="1:23" ht="49.95" customHeight="1" x14ac:dyDescent="0.25">
      <c r="B485" s="852" t="s">
        <v>16</v>
      </c>
      <c r="C485" s="838" t="s">
        <v>17</v>
      </c>
      <c r="D485" s="841" t="s">
        <v>18</v>
      </c>
      <c r="E485" s="838" t="s">
        <v>19</v>
      </c>
      <c r="F485" s="838" t="s">
        <v>13</v>
      </c>
      <c r="G485" s="838" t="s">
        <v>20</v>
      </c>
      <c r="H485" s="838" t="s">
        <v>21</v>
      </c>
      <c r="I485" s="855" t="s">
        <v>866</v>
      </c>
      <c r="J485" s="846" t="s">
        <v>867</v>
      </c>
      <c r="K485" s="855" t="s">
        <v>865</v>
      </c>
      <c r="L485" s="846" t="s">
        <v>868</v>
      </c>
      <c r="M485" s="846" t="s">
        <v>869</v>
      </c>
      <c r="N485" s="846" t="s">
        <v>870</v>
      </c>
      <c r="O485" s="838" t="s">
        <v>81</v>
      </c>
      <c r="P485" s="838" t="s">
        <v>80</v>
      </c>
      <c r="Q485" s="838" t="s">
        <v>70</v>
      </c>
      <c r="R485" s="838" t="s">
        <v>79</v>
      </c>
      <c r="S485" s="838" t="s">
        <v>78</v>
      </c>
      <c r="T485" s="848" t="s">
        <v>75</v>
      </c>
      <c r="U485" s="848" t="s">
        <v>71</v>
      </c>
      <c r="V485" s="850" t="s">
        <v>74</v>
      </c>
      <c r="W485" s="1"/>
    </row>
    <row r="486" spans="1:23" ht="49.95" customHeight="1" x14ac:dyDescent="0.25">
      <c r="B486" s="843"/>
      <c r="C486" s="839"/>
      <c r="D486" s="841"/>
      <c r="E486" s="839"/>
      <c r="F486" s="839"/>
      <c r="G486" s="839"/>
      <c r="H486" s="839"/>
      <c r="I486" s="856"/>
      <c r="J486" s="847"/>
      <c r="K486" s="856"/>
      <c r="L486" s="847"/>
      <c r="M486" s="847"/>
      <c r="N486" s="847"/>
      <c r="O486" s="839"/>
      <c r="P486" s="839"/>
      <c r="Q486" s="839"/>
      <c r="R486" s="839"/>
      <c r="S486" s="839"/>
      <c r="T486" s="849"/>
      <c r="U486" s="849"/>
      <c r="V486" s="851"/>
      <c r="W486" s="1"/>
    </row>
    <row r="487" spans="1:23" ht="15" customHeight="1" x14ac:dyDescent="0.25">
      <c r="A487" s="141" t="s">
        <v>616</v>
      </c>
      <c r="B487" s="59" t="s">
        <v>615</v>
      </c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1"/>
    </row>
    <row r="488" spans="1:23" ht="15" customHeight="1" x14ac:dyDescent="0.25">
      <c r="A488" s="559"/>
      <c r="B488" s="157" t="s">
        <v>258</v>
      </c>
      <c r="C488" s="566">
        <v>29.09</v>
      </c>
      <c r="D488" s="576">
        <f>27.23-2.27</f>
        <v>24.96</v>
      </c>
      <c r="E488" s="567">
        <v>1</v>
      </c>
      <c r="F488" s="574"/>
      <c r="G488" s="574"/>
      <c r="H488" s="30">
        <f t="shared" ref="H488:H493" si="118">C488*E488</f>
        <v>29.09</v>
      </c>
      <c r="I488" s="30"/>
      <c r="J488" s="30"/>
      <c r="K488" s="30"/>
      <c r="L488" s="30"/>
      <c r="M488" s="30"/>
      <c r="N488" s="30"/>
      <c r="O488" s="576"/>
      <c r="P488" s="576"/>
      <c r="Q488" s="576"/>
      <c r="R488" s="576"/>
      <c r="S488" s="578">
        <f>H488</f>
        <v>29.09</v>
      </c>
      <c r="T488" s="576"/>
      <c r="U488" s="576">
        <f>D488*E488</f>
        <v>24.96</v>
      </c>
      <c r="V488" s="576"/>
      <c r="W488" s="1"/>
    </row>
    <row r="489" spans="1:23" ht="15" customHeight="1" x14ac:dyDescent="0.25">
      <c r="A489" s="559"/>
      <c r="B489" s="157" t="s">
        <v>346</v>
      </c>
      <c r="C489" s="566">
        <v>43.75</v>
      </c>
      <c r="D489" s="576">
        <v>2.27</v>
      </c>
      <c r="E489" s="567">
        <v>1</v>
      </c>
      <c r="F489" s="574"/>
      <c r="G489" s="574"/>
      <c r="H489" s="30">
        <f t="shared" si="118"/>
        <v>43.75</v>
      </c>
      <c r="I489" s="30"/>
      <c r="J489" s="30"/>
      <c r="K489" s="30"/>
      <c r="L489" s="30"/>
      <c r="M489" s="30"/>
      <c r="N489" s="30"/>
      <c r="O489" s="576"/>
      <c r="P489" s="578">
        <f>H489</f>
        <v>43.75</v>
      </c>
      <c r="Q489" s="576"/>
      <c r="R489" s="576"/>
      <c r="S489" s="576"/>
      <c r="T489" s="576"/>
      <c r="U489" s="576"/>
      <c r="V489" s="576"/>
      <c r="W489" s="1"/>
    </row>
    <row r="490" spans="1:23" ht="15" customHeight="1" x14ac:dyDescent="0.25">
      <c r="A490" s="559"/>
      <c r="B490" s="157"/>
      <c r="C490" s="566">
        <v>9.35</v>
      </c>
      <c r="D490" s="576"/>
      <c r="E490" s="567">
        <v>1</v>
      </c>
      <c r="F490" s="574"/>
      <c r="G490" s="574"/>
      <c r="H490" s="30">
        <f t="shared" si="118"/>
        <v>9.35</v>
      </c>
      <c r="I490" s="30"/>
      <c r="J490" s="30"/>
      <c r="K490" s="30"/>
      <c r="L490" s="30"/>
      <c r="M490" s="30"/>
      <c r="N490" s="30"/>
      <c r="O490" s="576"/>
      <c r="P490" s="578">
        <f>H490</f>
        <v>9.35</v>
      </c>
      <c r="Q490" s="576"/>
      <c r="R490" s="576"/>
      <c r="S490" s="576"/>
      <c r="T490" s="576"/>
      <c r="U490" s="576"/>
      <c r="V490" s="576"/>
      <c r="W490" s="1"/>
    </row>
    <row r="491" spans="1:23" ht="15" customHeight="1" x14ac:dyDescent="0.25">
      <c r="A491" s="559"/>
      <c r="B491" s="157" t="s">
        <v>724</v>
      </c>
      <c r="C491" s="566">
        <v>7.45</v>
      </c>
      <c r="D491" s="578">
        <v>28.1</v>
      </c>
      <c r="E491" s="567">
        <v>1</v>
      </c>
      <c r="F491" s="574"/>
      <c r="G491" s="574"/>
      <c r="H491" s="30">
        <f t="shared" si="118"/>
        <v>7.45</v>
      </c>
      <c r="I491" s="30"/>
      <c r="J491" s="30"/>
      <c r="K491" s="30"/>
      <c r="L491" s="30"/>
      <c r="M491" s="30"/>
      <c r="N491" s="30"/>
      <c r="O491" s="576"/>
      <c r="P491" s="576"/>
      <c r="Q491" s="576"/>
      <c r="R491" s="576"/>
      <c r="S491" s="576"/>
      <c r="T491" s="576"/>
      <c r="U491" s="576"/>
      <c r="V491" s="576"/>
      <c r="W491" s="1"/>
    </row>
    <row r="492" spans="1:23" ht="15" customHeight="1" x14ac:dyDescent="0.25">
      <c r="A492" s="559"/>
      <c r="B492" s="157" t="s">
        <v>725</v>
      </c>
      <c r="C492" s="566">
        <v>8.23</v>
      </c>
      <c r="D492" s="576">
        <v>10.93</v>
      </c>
      <c r="E492" s="567">
        <v>1</v>
      </c>
      <c r="F492" s="574"/>
      <c r="G492" s="574"/>
      <c r="H492" s="30">
        <f t="shared" si="118"/>
        <v>8.23</v>
      </c>
      <c r="I492" s="30"/>
      <c r="J492" s="30"/>
      <c r="K492" s="30"/>
      <c r="L492" s="30"/>
      <c r="M492" s="30"/>
      <c r="N492" s="30"/>
      <c r="O492" s="576"/>
      <c r="P492" s="576"/>
      <c r="Q492" s="576"/>
      <c r="R492" s="576"/>
      <c r="S492" s="576"/>
      <c r="T492" s="576"/>
      <c r="U492" s="576"/>
      <c r="V492" s="576"/>
      <c r="W492" s="1"/>
    </row>
    <row r="493" spans="1:23" ht="15" customHeight="1" x14ac:dyDescent="0.25">
      <c r="A493" s="563"/>
      <c r="B493" s="157" t="s">
        <v>726</v>
      </c>
      <c r="C493" s="186">
        <v>3.9</v>
      </c>
      <c r="D493" s="576">
        <v>11.56</v>
      </c>
      <c r="E493" s="567">
        <v>1</v>
      </c>
      <c r="F493" s="574"/>
      <c r="G493" s="574"/>
      <c r="H493" s="30">
        <f t="shared" si="118"/>
        <v>3.9</v>
      </c>
      <c r="I493" s="30"/>
      <c r="J493" s="30"/>
      <c r="K493" s="30"/>
      <c r="L493" s="30"/>
      <c r="M493" s="30"/>
      <c r="N493" s="30"/>
      <c r="O493" s="576"/>
      <c r="P493" s="576"/>
      <c r="Q493" s="576"/>
      <c r="R493" s="576"/>
      <c r="S493" s="576"/>
      <c r="T493" s="576"/>
      <c r="U493" s="576"/>
      <c r="V493" s="576"/>
      <c r="W493" s="1"/>
    </row>
    <row r="494" spans="1:23" ht="15" customHeight="1" x14ac:dyDescent="0.25">
      <c r="A494" s="150"/>
      <c r="B494" s="220" t="s">
        <v>168</v>
      </c>
      <c r="C494" s="222">
        <v>52.8</v>
      </c>
      <c r="D494" s="576">
        <v>8.33</v>
      </c>
      <c r="E494" s="33">
        <v>1</v>
      </c>
      <c r="F494" s="29"/>
      <c r="G494" s="30"/>
      <c r="H494" s="30">
        <f t="shared" ref="H494" si="119">C494*E494</f>
        <v>52.8</v>
      </c>
      <c r="I494" s="156"/>
      <c r="J494" s="156"/>
      <c r="K494" s="156"/>
      <c r="L494" s="156"/>
      <c r="M494" s="156"/>
      <c r="N494" s="156"/>
      <c r="O494" s="156"/>
      <c r="P494" s="156"/>
      <c r="Q494" s="156"/>
      <c r="R494" s="31"/>
      <c r="S494" s="31">
        <f>H494</f>
        <v>52.8</v>
      </c>
      <c r="T494" s="31"/>
      <c r="U494" s="31">
        <f>D494*E494</f>
        <v>8.33</v>
      </c>
      <c r="V494" s="31"/>
      <c r="W494" s="1"/>
    </row>
    <row r="495" spans="1:23" ht="15" customHeight="1" x14ac:dyDescent="0.25">
      <c r="A495" s="150"/>
      <c r="B495" s="157" t="s">
        <v>648</v>
      </c>
      <c r="C495" s="73">
        <v>3.6</v>
      </c>
      <c r="D495" s="486">
        <v>10.61</v>
      </c>
      <c r="E495" s="33">
        <v>1</v>
      </c>
      <c r="F495" s="29"/>
      <c r="G495" s="30"/>
      <c r="H495" s="30">
        <f t="shared" ref="H495:H497" si="120">C495*E495</f>
        <v>3.6</v>
      </c>
      <c r="I495" s="156"/>
      <c r="J495" s="156"/>
      <c r="K495" s="156"/>
      <c r="L495" s="156"/>
      <c r="M495" s="156"/>
      <c r="N495" s="156"/>
      <c r="O495" s="156"/>
      <c r="P495" s="156"/>
      <c r="Q495" s="156"/>
      <c r="R495" s="31"/>
      <c r="S495" s="31">
        <f>H495</f>
        <v>3.6</v>
      </c>
      <c r="T495" s="31"/>
      <c r="U495" s="31">
        <f>D495*E495</f>
        <v>10.61</v>
      </c>
      <c r="V495" s="31"/>
      <c r="W495" s="1"/>
    </row>
    <row r="496" spans="1:23" ht="15" customHeight="1" x14ac:dyDescent="0.25">
      <c r="A496" s="150"/>
      <c r="B496" s="15" t="s">
        <v>229</v>
      </c>
      <c r="C496" s="73">
        <v>3.03</v>
      </c>
      <c r="D496" s="486">
        <v>8.51</v>
      </c>
      <c r="E496" s="33">
        <v>1</v>
      </c>
      <c r="F496" s="29"/>
      <c r="G496" s="30"/>
      <c r="H496" s="30">
        <f t="shared" si="120"/>
        <v>3.03</v>
      </c>
      <c r="I496" s="156"/>
      <c r="J496" s="156"/>
      <c r="K496" s="156"/>
      <c r="L496" s="156"/>
      <c r="M496" s="156"/>
      <c r="N496" s="156"/>
      <c r="O496" s="156"/>
      <c r="P496" s="156"/>
      <c r="Q496" s="156"/>
      <c r="R496" s="31"/>
      <c r="S496" s="31"/>
      <c r="T496" s="31"/>
      <c r="U496" s="31"/>
      <c r="V496" s="31"/>
      <c r="W496" s="1"/>
    </row>
    <row r="497" spans="1:23" ht="15" customHeight="1" x14ac:dyDescent="0.25">
      <c r="A497" s="150"/>
      <c r="B497" s="15" t="s">
        <v>229</v>
      </c>
      <c r="C497" s="73">
        <v>1.1000000000000001</v>
      </c>
      <c r="D497" s="486">
        <v>7.44</v>
      </c>
      <c r="E497" s="33">
        <v>1</v>
      </c>
      <c r="F497" s="29"/>
      <c r="G497" s="30"/>
      <c r="H497" s="30">
        <f t="shared" si="120"/>
        <v>1.1000000000000001</v>
      </c>
      <c r="I497" s="156"/>
      <c r="J497" s="156"/>
      <c r="K497" s="156"/>
      <c r="L497" s="156"/>
      <c r="M497" s="156"/>
      <c r="N497" s="156"/>
      <c r="O497" s="156"/>
      <c r="P497" s="156"/>
      <c r="Q497" s="156"/>
      <c r="R497" s="31"/>
      <c r="S497" s="31"/>
      <c r="T497" s="31"/>
      <c r="U497" s="31"/>
      <c r="V497" s="31"/>
      <c r="W497" s="1"/>
    </row>
    <row r="498" spans="1:23" ht="15" customHeight="1" x14ac:dyDescent="0.25">
      <c r="A498" s="150"/>
      <c r="B498" s="15" t="s">
        <v>617</v>
      </c>
      <c r="C498" s="73">
        <v>14.9</v>
      </c>
      <c r="D498" s="486">
        <v>15.55</v>
      </c>
      <c r="E498" s="33">
        <v>1</v>
      </c>
      <c r="F498" s="29"/>
      <c r="G498" s="30"/>
      <c r="H498" s="30">
        <f t="shared" ref="H498:H513" si="121">C498*E498</f>
        <v>14.9</v>
      </c>
      <c r="I498" s="156"/>
      <c r="J498" s="156"/>
      <c r="K498" s="156"/>
      <c r="L498" s="156"/>
      <c r="M498" s="156"/>
      <c r="N498" s="156"/>
      <c r="O498" s="156"/>
      <c r="P498" s="156"/>
      <c r="Q498" s="156"/>
      <c r="R498" s="31"/>
      <c r="S498" s="31">
        <f>H498</f>
        <v>14.9</v>
      </c>
      <c r="T498" s="31"/>
      <c r="U498" s="31">
        <f>D498*E498</f>
        <v>15.55</v>
      </c>
      <c r="V498" s="31"/>
      <c r="W498" s="1"/>
    </row>
    <row r="499" spans="1:23" ht="15" customHeight="1" x14ac:dyDescent="0.25">
      <c r="A499" s="150"/>
      <c r="B499" s="15" t="s">
        <v>213</v>
      </c>
      <c r="C499" s="73">
        <v>3</v>
      </c>
      <c r="D499" s="513">
        <v>7.1</v>
      </c>
      <c r="E499" s="33">
        <v>1</v>
      </c>
      <c r="F499" s="29"/>
      <c r="G499" s="30"/>
      <c r="H499" s="30">
        <f t="shared" si="121"/>
        <v>3</v>
      </c>
      <c r="I499" s="156"/>
      <c r="J499" s="156"/>
      <c r="K499" s="156"/>
      <c r="L499" s="156"/>
      <c r="M499" s="156"/>
      <c r="N499" s="156"/>
      <c r="O499" s="156"/>
      <c r="P499" s="156"/>
      <c r="Q499" s="156"/>
      <c r="R499" s="31">
        <f>H499</f>
        <v>3</v>
      </c>
      <c r="S499" s="31"/>
      <c r="T499" s="31"/>
      <c r="U499" s="31"/>
      <c r="V499" s="31">
        <f>D499*E499</f>
        <v>7.1</v>
      </c>
      <c r="W499" s="1"/>
    </row>
    <row r="500" spans="1:23" ht="15" customHeight="1" x14ac:dyDescent="0.25">
      <c r="A500" s="150"/>
      <c r="B500" s="157" t="s">
        <v>168</v>
      </c>
      <c r="C500" s="73">
        <v>19.37</v>
      </c>
      <c r="D500" s="486">
        <v>24.060000000000002</v>
      </c>
      <c r="E500" s="33">
        <v>1</v>
      </c>
      <c r="F500" s="29"/>
      <c r="G500" s="30"/>
      <c r="H500" s="30">
        <f t="shared" si="121"/>
        <v>19.37</v>
      </c>
      <c r="I500" s="156"/>
      <c r="J500" s="156"/>
      <c r="K500" s="156"/>
      <c r="L500" s="156"/>
      <c r="M500" s="156"/>
      <c r="N500" s="156"/>
      <c r="O500" s="156"/>
      <c r="P500" s="156"/>
      <c r="Q500" s="156"/>
      <c r="R500" s="31"/>
      <c r="S500" s="31">
        <f>H500</f>
        <v>19.37</v>
      </c>
      <c r="T500" s="31"/>
      <c r="U500" s="31">
        <f t="shared" ref="U500:U504" si="122">D500*E500</f>
        <v>24.060000000000002</v>
      </c>
      <c r="V500" s="31"/>
      <c r="W500" s="1"/>
    </row>
    <row r="501" spans="1:23" ht="15" customHeight="1" x14ac:dyDescent="0.25">
      <c r="A501" s="150"/>
      <c r="B501" s="15" t="s">
        <v>618</v>
      </c>
      <c r="C501" s="73">
        <v>8.81</v>
      </c>
      <c r="D501" s="486">
        <v>13.45</v>
      </c>
      <c r="E501" s="33">
        <v>1</v>
      </c>
      <c r="F501" s="29"/>
      <c r="G501" s="30"/>
      <c r="H501" s="30">
        <f t="shared" si="121"/>
        <v>8.81</v>
      </c>
      <c r="I501" s="156"/>
      <c r="J501" s="156"/>
      <c r="K501" s="156"/>
      <c r="L501" s="156"/>
      <c r="M501" s="156"/>
      <c r="N501" s="156"/>
      <c r="O501" s="156"/>
      <c r="P501" s="156"/>
      <c r="Q501" s="156"/>
      <c r="R501" s="31"/>
      <c r="S501" s="31">
        <f>H501</f>
        <v>8.81</v>
      </c>
      <c r="T501" s="31"/>
      <c r="U501" s="31">
        <f t="shared" si="122"/>
        <v>13.45</v>
      </c>
      <c r="V501" s="31"/>
      <c r="W501" s="1"/>
    </row>
    <row r="502" spans="1:23" ht="15" customHeight="1" x14ac:dyDescent="0.25">
      <c r="A502" s="150"/>
      <c r="B502" s="15" t="s">
        <v>205</v>
      </c>
      <c r="C502" s="73">
        <v>1.55</v>
      </c>
      <c r="D502" s="514">
        <v>3.8</v>
      </c>
      <c r="E502" s="33">
        <v>1</v>
      </c>
      <c r="F502" s="29"/>
      <c r="G502" s="30"/>
      <c r="H502" s="30">
        <f t="shared" si="121"/>
        <v>1.55</v>
      </c>
      <c r="I502" s="156"/>
      <c r="J502" s="156"/>
      <c r="K502" s="156"/>
      <c r="L502" s="156"/>
      <c r="M502" s="156"/>
      <c r="N502" s="156"/>
      <c r="O502" s="156"/>
      <c r="P502" s="156"/>
      <c r="Q502" s="156"/>
      <c r="R502" s="31"/>
      <c r="S502" s="31">
        <f>H502</f>
        <v>1.55</v>
      </c>
      <c r="T502" s="31"/>
      <c r="U502" s="31">
        <f t="shared" si="122"/>
        <v>3.8</v>
      </c>
      <c r="V502" s="31"/>
      <c r="W502" s="1"/>
    </row>
    <row r="503" spans="1:23" ht="15" customHeight="1" x14ac:dyDescent="0.25">
      <c r="A503" s="150"/>
      <c r="B503" s="15" t="s">
        <v>212</v>
      </c>
      <c r="C503" s="73">
        <v>3.16</v>
      </c>
      <c r="D503" s="514">
        <v>8.2799999999999994</v>
      </c>
      <c r="E503" s="33">
        <v>1</v>
      </c>
      <c r="F503" s="29"/>
      <c r="G503" s="30"/>
      <c r="H503" s="30">
        <f t="shared" si="121"/>
        <v>3.16</v>
      </c>
      <c r="I503" s="156"/>
      <c r="J503" s="156"/>
      <c r="K503" s="156"/>
      <c r="L503" s="156"/>
      <c r="M503" s="156"/>
      <c r="N503" s="156"/>
      <c r="O503" s="156"/>
      <c r="P503" s="156"/>
      <c r="Q503" s="156"/>
      <c r="R503" s="31"/>
      <c r="S503" s="31">
        <f>H503</f>
        <v>3.16</v>
      </c>
      <c r="T503" s="31"/>
      <c r="U503" s="31">
        <f t="shared" si="122"/>
        <v>8.2799999999999994</v>
      </c>
      <c r="V503" s="31"/>
      <c r="W503" s="1"/>
    </row>
    <row r="504" spans="1:23" ht="15" customHeight="1" x14ac:dyDescent="0.25">
      <c r="A504" s="150"/>
      <c r="B504" s="220" t="s">
        <v>205</v>
      </c>
      <c r="C504" s="222">
        <v>3.13</v>
      </c>
      <c r="D504" s="514">
        <v>5.61</v>
      </c>
      <c r="E504" s="33">
        <v>1</v>
      </c>
      <c r="F504" s="29"/>
      <c r="G504" s="30"/>
      <c r="H504" s="30">
        <f t="shared" si="121"/>
        <v>3.13</v>
      </c>
      <c r="I504" s="156"/>
      <c r="J504" s="156"/>
      <c r="K504" s="156"/>
      <c r="L504" s="156"/>
      <c r="M504" s="156"/>
      <c r="N504" s="156"/>
      <c r="O504" s="156"/>
      <c r="P504" s="156"/>
      <c r="Q504" s="156"/>
      <c r="R504" s="31"/>
      <c r="S504" s="31">
        <f>H504</f>
        <v>3.13</v>
      </c>
      <c r="T504" s="31"/>
      <c r="U504" s="31">
        <f t="shared" si="122"/>
        <v>5.61</v>
      </c>
      <c r="V504" s="31"/>
      <c r="W504" s="1"/>
    </row>
    <row r="505" spans="1:23" ht="15" customHeight="1" x14ac:dyDescent="0.25">
      <c r="A505" s="150"/>
      <c r="B505" s="15" t="s">
        <v>158</v>
      </c>
      <c r="C505" s="73">
        <v>3.54</v>
      </c>
      <c r="D505" s="514">
        <v>7.6</v>
      </c>
      <c r="E505" s="33">
        <v>1</v>
      </c>
      <c r="F505" s="29"/>
      <c r="G505" s="30"/>
      <c r="H505" s="30">
        <f t="shared" si="121"/>
        <v>3.54</v>
      </c>
      <c r="I505" s="156"/>
      <c r="J505" s="156"/>
      <c r="K505" s="156"/>
      <c r="L505" s="156"/>
      <c r="M505" s="156"/>
      <c r="N505" s="156"/>
      <c r="O505" s="156"/>
      <c r="P505" s="156"/>
      <c r="Q505" s="156">
        <f>H505</f>
        <v>3.54</v>
      </c>
      <c r="R505" s="31"/>
      <c r="S505" s="31"/>
      <c r="T505" s="31"/>
      <c r="U505" s="31"/>
      <c r="V505" s="31"/>
      <c r="W505" s="1"/>
    </row>
    <row r="506" spans="1:23" ht="15" customHeight="1" x14ac:dyDescent="0.25">
      <c r="A506" s="150"/>
      <c r="B506" s="15" t="s">
        <v>619</v>
      </c>
      <c r="C506" s="73">
        <v>5.88</v>
      </c>
      <c r="D506" s="514">
        <v>7.7000000000000011</v>
      </c>
      <c r="E506" s="33">
        <v>1</v>
      </c>
      <c r="F506" s="29"/>
      <c r="G506" s="30"/>
      <c r="H506" s="30">
        <f t="shared" si="121"/>
        <v>5.88</v>
      </c>
      <c r="I506" s="156"/>
      <c r="J506" s="156"/>
      <c r="K506" s="156"/>
      <c r="L506" s="156"/>
      <c r="M506" s="156"/>
      <c r="N506" s="156"/>
      <c r="O506" s="156"/>
      <c r="P506" s="156"/>
      <c r="Q506" s="156">
        <f>H506</f>
        <v>5.88</v>
      </c>
      <c r="R506" s="31"/>
      <c r="S506" s="31"/>
      <c r="T506" s="31"/>
      <c r="U506" s="31"/>
      <c r="V506" s="31"/>
      <c r="W506" s="1"/>
    </row>
    <row r="507" spans="1:23" ht="15" customHeight="1" x14ac:dyDescent="0.25">
      <c r="A507" s="150"/>
      <c r="B507" s="220" t="s">
        <v>205</v>
      </c>
      <c r="C507" s="222">
        <v>3.21</v>
      </c>
      <c r="D507" s="514">
        <v>5.38</v>
      </c>
      <c r="E507" s="33">
        <v>1</v>
      </c>
      <c r="F507" s="29"/>
      <c r="G507" s="30"/>
      <c r="H507" s="30">
        <f t="shared" si="121"/>
        <v>3.21</v>
      </c>
      <c r="I507" s="156"/>
      <c r="J507" s="156"/>
      <c r="K507" s="156"/>
      <c r="L507" s="156"/>
      <c r="M507" s="156"/>
      <c r="N507" s="156"/>
      <c r="O507" s="156"/>
      <c r="P507" s="156"/>
      <c r="Q507" s="156"/>
      <c r="R507" s="31"/>
      <c r="S507" s="31">
        <f>H507</f>
        <v>3.21</v>
      </c>
      <c r="T507" s="31"/>
      <c r="U507" s="31">
        <f>D507*E507</f>
        <v>5.38</v>
      </c>
      <c r="V507" s="31"/>
      <c r="W507" s="1"/>
    </row>
    <row r="508" spans="1:23" ht="15" customHeight="1" x14ac:dyDescent="0.25">
      <c r="A508" s="150"/>
      <c r="B508" s="220" t="s">
        <v>626</v>
      </c>
      <c r="C508" s="222">
        <v>29.23</v>
      </c>
      <c r="D508" s="514">
        <v>27.06</v>
      </c>
      <c r="E508" s="33">
        <v>1</v>
      </c>
      <c r="F508" s="29"/>
      <c r="G508" s="30"/>
      <c r="H508" s="30">
        <f t="shared" si="121"/>
        <v>29.23</v>
      </c>
      <c r="I508" s="156"/>
      <c r="J508" s="156"/>
      <c r="K508" s="156"/>
      <c r="L508" s="156"/>
      <c r="M508" s="156"/>
      <c r="N508" s="156"/>
      <c r="O508" s="156"/>
      <c r="P508" s="156">
        <f>H508</f>
        <v>29.23</v>
      </c>
      <c r="Q508" s="156"/>
      <c r="R508" s="31"/>
      <c r="S508" s="31"/>
      <c r="T508" s="31"/>
      <c r="U508" s="31"/>
      <c r="V508" s="31"/>
      <c r="W508" s="1"/>
    </row>
    <row r="509" spans="1:23" ht="15" customHeight="1" x14ac:dyDescent="0.25">
      <c r="A509" s="150"/>
      <c r="B509" s="15" t="s">
        <v>620</v>
      </c>
      <c r="C509" s="73">
        <v>11.91</v>
      </c>
      <c r="D509" s="514">
        <v>14.92</v>
      </c>
      <c r="E509" s="33">
        <v>1</v>
      </c>
      <c r="F509" s="29"/>
      <c r="G509" s="30"/>
      <c r="H509" s="30">
        <f t="shared" si="121"/>
        <v>11.91</v>
      </c>
      <c r="I509" s="156"/>
      <c r="J509" s="156"/>
      <c r="K509" s="156"/>
      <c r="L509" s="156"/>
      <c r="M509" s="156"/>
      <c r="N509" s="156"/>
      <c r="O509" s="156"/>
      <c r="P509" s="156">
        <f t="shared" ref="P509:P513" si="123">H509</f>
        <v>11.91</v>
      </c>
      <c r="Q509" s="156"/>
      <c r="R509" s="31"/>
      <c r="S509" s="31"/>
      <c r="T509" s="31"/>
      <c r="U509" s="31"/>
      <c r="V509" s="31"/>
      <c r="W509" s="1"/>
    </row>
    <row r="510" spans="1:23" ht="15" customHeight="1" x14ac:dyDescent="0.25">
      <c r="A510" s="150"/>
      <c r="B510" s="15" t="s">
        <v>621</v>
      </c>
      <c r="C510" s="73">
        <v>18.190000000000001</v>
      </c>
      <c r="D510" s="514">
        <v>17.29</v>
      </c>
      <c r="E510" s="33">
        <v>1</v>
      </c>
      <c r="F510" s="29"/>
      <c r="G510" s="30"/>
      <c r="H510" s="30">
        <f t="shared" si="121"/>
        <v>18.190000000000001</v>
      </c>
      <c r="I510" s="156"/>
      <c r="J510" s="156"/>
      <c r="K510" s="156"/>
      <c r="L510" s="156"/>
      <c r="M510" s="156"/>
      <c r="N510" s="156"/>
      <c r="O510" s="156"/>
      <c r="P510" s="156">
        <f t="shared" si="123"/>
        <v>18.190000000000001</v>
      </c>
      <c r="Q510" s="156"/>
      <c r="R510" s="31"/>
      <c r="S510" s="31"/>
      <c r="T510" s="31"/>
      <c r="U510" s="31"/>
      <c r="V510" s="31"/>
      <c r="W510" s="1"/>
    </row>
    <row r="511" spans="1:23" ht="15" customHeight="1" x14ac:dyDescent="0.25">
      <c r="A511" s="150"/>
      <c r="B511" s="15" t="s">
        <v>622</v>
      </c>
      <c r="C511" s="73">
        <v>24.6</v>
      </c>
      <c r="D511" s="514">
        <v>19.87</v>
      </c>
      <c r="E511" s="33">
        <v>1</v>
      </c>
      <c r="F511" s="29"/>
      <c r="G511" s="30"/>
      <c r="H511" s="30">
        <f t="shared" si="121"/>
        <v>24.6</v>
      </c>
      <c r="I511" s="156"/>
      <c r="J511" s="156"/>
      <c r="K511" s="156"/>
      <c r="L511" s="156"/>
      <c r="M511" s="156"/>
      <c r="N511" s="156"/>
      <c r="O511" s="156"/>
      <c r="P511" s="156">
        <f t="shared" si="123"/>
        <v>24.6</v>
      </c>
      <c r="Q511" s="156"/>
      <c r="R511" s="31"/>
      <c r="S511" s="31"/>
      <c r="T511" s="31"/>
      <c r="U511" s="31"/>
      <c r="V511" s="31"/>
      <c r="W511" s="1"/>
    </row>
    <row r="512" spans="1:23" ht="15" customHeight="1" x14ac:dyDescent="0.25">
      <c r="A512" s="150"/>
      <c r="B512" s="220" t="s">
        <v>623</v>
      </c>
      <c r="C512" s="222">
        <v>89.27</v>
      </c>
      <c r="D512" s="514">
        <v>38.1</v>
      </c>
      <c r="E512" s="33">
        <v>1</v>
      </c>
      <c r="F512" s="29"/>
      <c r="G512" s="30"/>
      <c r="H512" s="30">
        <f t="shared" si="121"/>
        <v>89.27</v>
      </c>
      <c r="I512" s="156"/>
      <c r="J512" s="156"/>
      <c r="K512" s="156"/>
      <c r="L512" s="156"/>
      <c r="M512" s="156"/>
      <c r="N512" s="156"/>
      <c r="O512" s="156"/>
      <c r="P512" s="156">
        <f t="shared" si="123"/>
        <v>89.27</v>
      </c>
      <c r="Q512" s="156"/>
      <c r="R512" s="31"/>
      <c r="S512" s="31"/>
      <c r="T512" s="31"/>
      <c r="U512" s="31"/>
      <c r="V512" s="31"/>
      <c r="W512" s="1"/>
    </row>
    <row r="513" spans="1:23" ht="15" customHeight="1" x14ac:dyDescent="0.25">
      <c r="A513" s="150"/>
      <c r="B513" s="220" t="s">
        <v>650</v>
      </c>
      <c r="C513" s="222">
        <v>510.76</v>
      </c>
      <c r="D513" s="131">
        <v>131.97999999999999</v>
      </c>
      <c r="E513" s="33">
        <v>1</v>
      </c>
      <c r="F513" s="29"/>
      <c r="G513" s="30"/>
      <c r="H513" s="30">
        <f t="shared" si="121"/>
        <v>510.76</v>
      </c>
      <c r="I513" s="156"/>
      <c r="J513" s="156"/>
      <c r="K513" s="156"/>
      <c r="L513" s="156"/>
      <c r="M513" s="156"/>
      <c r="N513" s="156"/>
      <c r="O513" s="156"/>
      <c r="P513" s="156">
        <f t="shared" si="123"/>
        <v>510.76</v>
      </c>
      <c r="Q513" s="156"/>
      <c r="R513" s="31"/>
      <c r="S513" s="31"/>
      <c r="T513" s="31"/>
      <c r="U513" s="31"/>
      <c r="V513" s="31"/>
      <c r="W513" s="1"/>
    </row>
    <row r="514" spans="1:23" ht="19.95" customHeight="1" x14ac:dyDescent="0.25">
      <c r="A514" s="150"/>
      <c r="B514" s="128" t="s">
        <v>22</v>
      </c>
      <c r="C514" s="129">
        <f>SUM(C488:C513)</f>
        <v>912.81</v>
      </c>
      <c r="D514" s="129"/>
      <c r="E514" s="129"/>
      <c r="F514" s="129"/>
      <c r="G514" s="129">
        <f t="shared" ref="G514:V514" si="124">SUM(G488:G513)</f>
        <v>0</v>
      </c>
      <c r="H514" s="129">
        <f t="shared" si="124"/>
        <v>912.81</v>
      </c>
      <c r="I514" s="129">
        <f t="shared" si="124"/>
        <v>0</v>
      </c>
      <c r="J514" s="129">
        <f t="shared" si="124"/>
        <v>0</v>
      </c>
      <c r="K514" s="129">
        <f t="shared" si="124"/>
        <v>0</v>
      </c>
      <c r="L514" s="129">
        <f t="shared" si="124"/>
        <v>0</v>
      </c>
      <c r="M514" s="129">
        <f t="shared" si="124"/>
        <v>0</v>
      </c>
      <c r="N514" s="129">
        <f t="shared" si="124"/>
        <v>0</v>
      </c>
      <c r="O514" s="129">
        <f t="shared" si="124"/>
        <v>0</v>
      </c>
      <c r="P514" s="129">
        <f t="shared" si="124"/>
        <v>737.06</v>
      </c>
      <c r="Q514" s="129">
        <f t="shared" si="124"/>
        <v>9.42</v>
      </c>
      <c r="R514" s="129">
        <f t="shared" si="124"/>
        <v>3</v>
      </c>
      <c r="S514" s="129">
        <f t="shared" si="124"/>
        <v>139.62</v>
      </c>
      <c r="T514" s="129">
        <f t="shared" si="124"/>
        <v>0</v>
      </c>
      <c r="U514" s="129">
        <f t="shared" si="124"/>
        <v>120.03</v>
      </c>
      <c r="V514" s="129">
        <f t="shared" si="124"/>
        <v>7.1</v>
      </c>
      <c r="W514" s="1"/>
    </row>
    <row r="515" spans="1:23" ht="19.95" customHeight="1" x14ac:dyDescent="0.25">
      <c r="A515" s="150"/>
      <c r="B515" s="267"/>
      <c r="C515" s="265"/>
      <c r="D515" s="129"/>
      <c r="E515" s="265"/>
      <c r="F515" s="265"/>
      <c r="G515" s="265"/>
      <c r="H515" s="265"/>
      <c r="I515" s="141">
        <v>7</v>
      </c>
      <c r="J515" s="141">
        <v>8</v>
      </c>
      <c r="K515" s="141">
        <v>9</v>
      </c>
      <c r="L515" s="141">
        <v>12</v>
      </c>
      <c r="M515" s="141">
        <v>13</v>
      </c>
      <c r="N515" s="141">
        <v>14</v>
      </c>
      <c r="O515" s="224">
        <v>5</v>
      </c>
      <c r="P515" s="224">
        <v>4</v>
      </c>
      <c r="Q515" s="224">
        <v>2</v>
      </c>
      <c r="R515" s="224">
        <v>3</v>
      </c>
      <c r="S515" s="224">
        <v>1</v>
      </c>
      <c r="T515" s="224">
        <v>5</v>
      </c>
      <c r="U515" s="224">
        <v>1</v>
      </c>
      <c r="V515" s="224">
        <v>3</v>
      </c>
      <c r="W515" s="1"/>
    </row>
    <row r="516" spans="1:23" ht="49.95" customHeight="1" x14ac:dyDescent="0.25">
      <c r="B516" s="852" t="s">
        <v>16</v>
      </c>
      <c r="C516" s="838" t="s">
        <v>17</v>
      </c>
      <c r="D516" s="841" t="s">
        <v>18</v>
      </c>
      <c r="E516" s="838" t="s">
        <v>19</v>
      </c>
      <c r="F516" s="838" t="s">
        <v>13</v>
      </c>
      <c r="G516" s="838" t="s">
        <v>20</v>
      </c>
      <c r="H516" s="838" t="s">
        <v>21</v>
      </c>
      <c r="I516" s="853" t="s">
        <v>883</v>
      </c>
      <c r="J516" s="846" t="s">
        <v>867</v>
      </c>
      <c r="K516" s="855" t="s">
        <v>865</v>
      </c>
      <c r="L516" s="857" t="s">
        <v>881</v>
      </c>
      <c r="M516" s="859" t="s">
        <v>882</v>
      </c>
      <c r="N516" s="846" t="s">
        <v>870</v>
      </c>
      <c r="O516" s="838" t="s">
        <v>81</v>
      </c>
      <c r="P516" s="838" t="s">
        <v>80</v>
      </c>
      <c r="Q516" s="838" t="s">
        <v>70</v>
      </c>
      <c r="R516" s="838" t="s">
        <v>79</v>
      </c>
      <c r="S516" s="838" t="s">
        <v>78</v>
      </c>
      <c r="T516" s="848" t="s">
        <v>75</v>
      </c>
      <c r="U516" s="848" t="s">
        <v>71</v>
      </c>
      <c r="V516" s="850" t="s">
        <v>74</v>
      </c>
      <c r="W516" s="1"/>
    </row>
    <row r="517" spans="1:23" ht="49.95" customHeight="1" x14ac:dyDescent="0.25">
      <c r="B517" s="843"/>
      <c r="C517" s="839"/>
      <c r="D517" s="841"/>
      <c r="E517" s="839"/>
      <c r="F517" s="839"/>
      <c r="G517" s="839"/>
      <c r="H517" s="839"/>
      <c r="I517" s="854"/>
      <c r="J517" s="847"/>
      <c r="K517" s="856"/>
      <c r="L517" s="858"/>
      <c r="M517" s="860"/>
      <c r="N517" s="847"/>
      <c r="O517" s="839"/>
      <c r="P517" s="839"/>
      <c r="Q517" s="839"/>
      <c r="R517" s="839"/>
      <c r="S517" s="839"/>
      <c r="T517" s="849"/>
      <c r="U517" s="849"/>
      <c r="V517" s="851"/>
      <c r="W517" s="1"/>
    </row>
    <row r="518" spans="1:23" ht="15" customHeight="1" x14ac:dyDescent="0.25">
      <c r="A518" s="141" t="s">
        <v>727</v>
      </c>
      <c r="B518" s="59" t="s">
        <v>625</v>
      </c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1"/>
    </row>
    <row r="519" spans="1:23" ht="15" customHeight="1" x14ac:dyDescent="0.25">
      <c r="A519" s="559"/>
      <c r="B519" s="220" t="s">
        <v>258</v>
      </c>
      <c r="C519" s="603">
        <v>25.74</v>
      </c>
      <c r="D519" s="576">
        <v>24.28</v>
      </c>
      <c r="E519" s="33">
        <v>1</v>
      </c>
      <c r="F519" s="29"/>
      <c r="G519" s="30"/>
      <c r="H519" s="30">
        <f t="shared" ref="H519:H522" si="125">C519*E519</f>
        <v>25.74</v>
      </c>
      <c r="I519" s="156"/>
      <c r="J519" s="156"/>
      <c r="K519" s="156"/>
      <c r="L519" s="156"/>
      <c r="M519" s="156"/>
      <c r="N519" s="156"/>
      <c r="O519" s="156"/>
      <c r="P519" s="156"/>
      <c r="Q519" s="156"/>
      <c r="R519" s="31"/>
      <c r="S519" s="31">
        <f>H519</f>
        <v>25.74</v>
      </c>
      <c r="T519" s="31"/>
      <c r="U519" s="31">
        <f>D519*E519</f>
        <v>24.28</v>
      </c>
      <c r="V519" s="31"/>
      <c r="W519" s="1"/>
    </row>
    <row r="520" spans="1:23" ht="15" customHeight="1" x14ac:dyDescent="0.25">
      <c r="A520" s="559"/>
      <c r="B520" s="220" t="s">
        <v>617</v>
      </c>
      <c r="C520" s="603">
        <v>14.87</v>
      </c>
      <c r="D520" s="576">
        <v>17.64</v>
      </c>
      <c r="E520" s="33">
        <v>1</v>
      </c>
      <c r="F520" s="29"/>
      <c r="G520" s="30"/>
      <c r="H520" s="30">
        <f t="shared" si="125"/>
        <v>14.87</v>
      </c>
      <c r="I520" s="156"/>
      <c r="J520" s="156"/>
      <c r="K520" s="156"/>
      <c r="L520" s="156"/>
      <c r="M520" s="156"/>
      <c r="N520" s="156"/>
      <c r="O520" s="156"/>
      <c r="P520" s="156"/>
      <c r="Q520" s="156"/>
      <c r="R520" s="31"/>
      <c r="S520" s="31">
        <f>H520</f>
        <v>14.87</v>
      </c>
      <c r="T520" s="31"/>
      <c r="U520" s="31">
        <f>D520*E520</f>
        <v>17.64</v>
      </c>
      <c r="V520" s="31"/>
      <c r="W520" s="1"/>
    </row>
    <row r="521" spans="1:23" ht="15" customHeight="1" x14ac:dyDescent="0.25">
      <c r="A521" s="559"/>
      <c r="B521" s="157" t="s">
        <v>346</v>
      </c>
      <c r="C521" s="566">
        <v>43.48</v>
      </c>
      <c r="D521" s="578">
        <v>27.85</v>
      </c>
      <c r="E521" s="33">
        <v>1</v>
      </c>
      <c r="F521" s="29"/>
      <c r="G521" s="30"/>
      <c r="H521" s="30">
        <f t="shared" si="125"/>
        <v>43.48</v>
      </c>
      <c r="I521" s="156"/>
      <c r="J521" s="156"/>
      <c r="K521" s="156"/>
      <c r="L521" s="156"/>
      <c r="M521" s="156"/>
      <c r="N521" s="156"/>
      <c r="O521" s="156"/>
      <c r="P521" s="156">
        <f>H521</f>
        <v>43.48</v>
      </c>
      <c r="Q521" s="156"/>
      <c r="R521" s="31"/>
      <c r="S521" s="31"/>
      <c r="T521" s="31"/>
      <c r="U521" s="31"/>
      <c r="V521" s="31"/>
      <c r="W521" s="1"/>
    </row>
    <row r="522" spans="1:23" ht="15" customHeight="1" x14ac:dyDescent="0.25">
      <c r="A522" s="559"/>
      <c r="B522" s="157"/>
      <c r="C522" s="566">
        <v>9.35</v>
      </c>
      <c r="D522" s="578"/>
      <c r="E522" s="33">
        <v>1</v>
      </c>
      <c r="F522" s="29"/>
      <c r="G522" s="30"/>
      <c r="H522" s="30">
        <f t="shared" si="125"/>
        <v>9.35</v>
      </c>
      <c r="I522" s="156"/>
      <c r="J522" s="156"/>
      <c r="K522" s="156"/>
      <c r="L522" s="156"/>
      <c r="M522" s="156"/>
      <c r="N522" s="156"/>
      <c r="O522" s="156"/>
      <c r="P522" s="156">
        <f>H522</f>
        <v>9.35</v>
      </c>
      <c r="Q522" s="156"/>
      <c r="R522" s="31"/>
      <c r="S522" s="31"/>
      <c r="T522" s="31"/>
      <c r="U522" s="31"/>
      <c r="V522" s="31"/>
      <c r="W522" s="1"/>
    </row>
    <row r="523" spans="1:23" ht="15" customHeight="1" x14ac:dyDescent="0.25">
      <c r="A523" s="559"/>
      <c r="B523" s="157" t="s">
        <v>724</v>
      </c>
      <c r="C523" s="566">
        <v>7.45</v>
      </c>
      <c r="D523" s="576">
        <v>10.93</v>
      </c>
      <c r="E523" s="33">
        <v>1</v>
      </c>
      <c r="F523" s="29"/>
      <c r="G523" s="30"/>
      <c r="H523" s="30">
        <f t="shared" ref="H523:H525" si="126">C523*E523</f>
        <v>7.45</v>
      </c>
      <c r="I523" s="156"/>
      <c r="J523" s="156"/>
      <c r="K523" s="156"/>
      <c r="L523" s="156"/>
      <c r="M523" s="156"/>
      <c r="N523" s="156"/>
      <c r="O523" s="156"/>
      <c r="P523" s="156"/>
      <c r="Q523" s="156"/>
      <c r="R523" s="31"/>
      <c r="S523" s="31"/>
      <c r="T523" s="31"/>
      <c r="U523" s="31"/>
      <c r="V523" s="31"/>
      <c r="W523" s="1"/>
    </row>
    <row r="524" spans="1:23" ht="15" customHeight="1" x14ac:dyDescent="0.25">
      <c r="A524" s="559"/>
      <c r="B524" s="157" t="s">
        <v>725</v>
      </c>
      <c r="C524" s="566">
        <v>8.23</v>
      </c>
      <c r="D524" s="576">
        <v>11.56</v>
      </c>
      <c r="E524" s="33">
        <v>1</v>
      </c>
      <c r="F524" s="29"/>
      <c r="G524" s="30"/>
      <c r="H524" s="30">
        <f t="shared" si="126"/>
        <v>8.23</v>
      </c>
      <c r="I524" s="156"/>
      <c r="J524" s="156"/>
      <c r="K524" s="156"/>
      <c r="L524" s="156"/>
      <c r="M524" s="156"/>
      <c r="N524" s="156"/>
      <c r="O524" s="156"/>
      <c r="P524" s="156"/>
      <c r="Q524" s="156"/>
      <c r="R524" s="31"/>
      <c r="S524" s="31"/>
      <c r="T524" s="31"/>
      <c r="U524" s="31"/>
      <c r="V524" s="31"/>
      <c r="W524" s="1"/>
    </row>
    <row r="525" spans="1:23" ht="15" customHeight="1" x14ac:dyDescent="0.25">
      <c r="A525" s="563"/>
      <c r="B525" s="157" t="s">
        <v>726</v>
      </c>
      <c r="C525" s="186">
        <v>3.9</v>
      </c>
      <c r="D525" s="576">
        <v>8.33</v>
      </c>
      <c r="E525" s="33">
        <v>1</v>
      </c>
      <c r="F525" s="29"/>
      <c r="G525" s="30"/>
      <c r="H525" s="30">
        <f t="shared" si="126"/>
        <v>3.9</v>
      </c>
      <c r="I525" s="156"/>
      <c r="J525" s="156"/>
      <c r="K525" s="156"/>
      <c r="L525" s="156"/>
      <c r="M525" s="156"/>
      <c r="N525" s="156"/>
      <c r="O525" s="156"/>
      <c r="P525" s="156"/>
      <c r="Q525" s="156"/>
      <c r="R525" s="31"/>
      <c r="S525" s="31"/>
      <c r="T525" s="31"/>
      <c r="U525" s="31"/>
      <c r="V525" s="31"/>
      <c r="W525" s="1"/>
    </row>
    <row r="526" spans="1:23" ht="19.95" customHeight="1" x14ac:dyDescent="0.25">
      <c r="B526" s="128" t="s">
        <v>22</v>
      </c>
      <c r="C526" s="129">
        <f>SUM(C519:C525)</f>
        <v>113.02000000000001</v>
      </c>
      <c r="D526" s="129"/>
      <c r="E526" s="129"/>
      <c r="F526" s="129"/>
      <c r="G526" s="129">
        <f t="shared" ref="G526:V526" si="127">SUM(G519:G525)</f>
        <v>0</v>
      </c>
      <c r="H526" s="129">
        <f t="shared" si="127"/>
        <v>113.02000000000001</v>
      </c>
      <c r="I526" s="129">
        <f t="shared" si="127"/>
        <v>0</v>
      </c>
      <c r="J526" s="129">
        <f t="shared" si="127"/>
        <v>0</v>
      </c>
      <c r="K526" s="129">
        <f t="shared" si="127"/>
        <v>0</v>
      </c>
      <c r="L526" s="129">
        <f t="shared" si="127"/>
        <v>0</v>
      </c>
      <c r="M526" s="129">
        <f t="shared" si="127"/>
        <v>0</v>
      </c>
      <c r="N526" s="129">
        <f t="shared" si="127"/>
        <v>0</v>
      </c>
      <c r="O526" s="129">
        <f t="shared" si="127"/>
        <v>0</v>
      </c>
      <c r="P526" s="129">
        <f t="shared" si="127"/>
        <v>52.83</v>
      </c>
      <c r="Q526" s="129">
        <f t="shared" si="127"/>
        <v>0</v>
      </c>
      <c r="R526" s="129">
        <f t="shared" si="127"/>
        <v>0</v>
      </c>
      <c r="S526" s="129">
        <f t="shared" si="127"/>
        <v>40.61</v>
      </c>
      <c r="T526" s="129">
        <f t="shared" si="127"/>
        <v>0</v>
      </c>
      <c r="U526" s="129">
        <f t="shared" si="127"/>
        <v>41.92</v>
      </c>
      <c r="V526" s="129">
        <f t="shared" si="127"/>
        <v>0</v>
      </c>
      <c r="W526" s="1"/>
    </row>
    <row r="527" spans="1:23" ht="15" customHeight="1" x14ac:dyDescent="0.25">
      <c r="B527" s="508"/>
      <c r="C527" s="270"/>
      <c r="D527" s="270"/>
      <c r="E527" s="270"/>
      <c r="F527" s="270"/>
      <c r="G527" s="270"/>
      <c r="H527" s="270"/>
      <c r="I527" s="270"/>
      <c r="J527" s="270"/>
      <c r="K527" s="270"/>
      <c r="L527" s="270"/>
      <c r="M527" s="270"/>
      <c r="N527" s="270"/>
      <c r="O527" s="270"/>
      <c r="P527" s="270"/>
      <c r="Q527" s="270"/>
      <c r="R527" s="270"/>
      <c r="S527" s="270"/>
      <c r="T527" s="270"/>
      <c r="U527" s="270"/>
      <c r="V527" s="270"/>
    </row>
    <row r="528" spans="1:23" ht="15" customHeight="1" x14ac:dyDescent="0.25"/>
    <row r="529" spans="2:23" ht="19.95" customHeight="1" x14ac:dyDescent="0.25">
      <c r="B529" s="159" t="s">
        <v>91</v>
      </c>
      <c r="C529" s="130">
        <f>SUM(C88,C167,C228,C295,C363,C428,C483,484)</f>
        <v>7056.99</v>
      </c>
      <c r="D529" s="130"/>
      <c r="E529" s="130"/>
      <c r="F529" s="130"/>
      <c r="G529" s="130">
        <f t="shared" ref="G529:V529" si="128">SUM(G88,G167,G228,G295,G363,G428,G483,G514)</f>
        <v>1436.9799999999996</v>
      </c>
      <c r="H529" s="130">
        <f t="shared" si="128"/>
        <v>8145.1999999999989</v>
      </c>
      <c r="I529" s="772">
        <f t="shared" si="128"/>
        <v>78.426000000000002</v>
      </c>
      <c r="J529" s="770">
        <f t="shared" si="128"/>
        <v>0</v>
      </c>
      <c r="K529" s="772">
        <f t="shared" si="128"/>
        <v>0</v>
      </c>
      <c r="L529" s="770">
        <f t="shared" si="128"/>
        <v>26</v>
      </c>
      <c r="M529" s="770">
        <f t="shared" si="128"/>
        <v>407.03800000000001</v>
      </c>
      <c r="N529" s="770">
        <f t="shared" si="128"/>
        <v>0</v>
      </c>
      <c r="O529" s="130">
        <f t="shared" si="128"/>
        <v>108.23</v>
      </c>
      <c r="P529" s="130">
        <f t="shared" si="128"/>
        <v>1444.47</v>
      </c>
      <c r="Q529" s="771">
        <f t="shared" si="128"/>
        <v>186.82999999999998</v>
      </c>
      <c r="R529" s="130">
        <f t="shared" si="128"/>
        <v>481.76999999999992</v>
      </c>
      <c r="S529" s="771">
        <f t="shared" si="128"/>
        <v>5329.69</v>
      </c>
      <c r="T529" s="130">
        <f t="shared" si="128"/>
        <v>48.77</v>
      </c>
      <c r="U529" s="771">
        <f t="shared" si="128"/>
        <v>3166.9300000000012</v>
      </c>
      <c r="V529" s="130">
        <f t="shared" si="128"/>
        <v>888.74999999999989</v>
      </c>
      <c r="W529" s="1"/>
    </row>
    <row r="532" spans="2:23" x14ac:dyDescent="0.25">
      <c r="B532" s="531"/>
    </row>
    <row r="534" spans="2:23" ht="14.4" x14ac:dyDescent="0.25">
      <c r="B534" s="530" t="s">
        <v>393</v>
      </c>
    </row>
    <row r="535" spans="2:23" ht="14.4" x14ac:dyDescent="0.25">
      <c r="B535" s="768" t="s">
        <v>790</v>
      </c>
    </row>
    <row r="536" spans="2:23" ht="14.4" x14ac:dyDescent="0.25">
      <c r="B536" s="766" t="s">
        <v>806</v>
      </c>
    </row>
    <row r="537" spans="2:23" ht="14.4" x14ac:dyDescent="0.25">
      <c r="B537" s="773" t="s">
        <v>871</v>
      </c>
    </row>
  </sheetData>
  <mergeCells count="190">
    <mergeCell ref="L230:L231"/>
    <mergeCell ref="M230:M231"/>
    <mergeCell ref="I297:I298"/>
    <mergeCell ref="J297:J298"/>
    <mergeCell ref="K297:K298"/>
    <mergeCell ref="L297:L298"/>
    <mergeCell ref="M297:M298"/>
    <mergeCell ref="I365:I366"/>
    <mergeCell ref="J365:J366"/>
    <mergeCell ref="K365:K366"/>
    <mergeCell ref="L365:L366"/>
    <mergeCell ref="M365:M366"/>
    <mergeCell ref="T485:T486"/>
    <mergeCell ref="U485:U486"/>
    <mergeCell ref="V485:V486"/>
    <mergeCell ref="B485:B486"/>
    <mergeCell ref="C485:C486"/>
    <mergeCell ref="D485:D486"/>
    <mergeCell ref="E485:E486"/>
    <mergeCell ref="F485:F486"/>
    <mergeCell ref="G485:G486"/>
    <mergeCell ref="H485:H486"/>
    <mergeCell ref="O485:O486"/>
    <mergeCell ref="P485:P486"/>
    <mergeCell ref="I485:I486"/>
    <mergeCell ref="J485:J486"/>
    <mergeCell ref="K485:K486"/>
    <mergeCell ref="L485:L486"/>
    <mergeCell ref="M485:M486"/>
    <mergeCell ref="B430:B431"/>
    <mergeCell ref="C430:C431"/>
    <mergeCell ref="D430:D431"/>
    <mergeCell ref="E430:E431"/>
    <mergeCell ref="F430:F431"/>
    <mergeCell ref="I430:I431"/>
    <mergeCell ref="J430:J431"/>
    <mergeCell ref="K430:K431"/>
    <mergeCell ref="L430:L431"/>
    <mergeCell ref="T430:T431"/>
    <mergeCell ref="U430:U431"/>
    <mergeCell ref="V365:V366"/>
    <mergeCell ref="V430:V431"/>
    <mergeCell ref="G430:G431"/>
    <mergeCell ref="H430:H431"/>
    <mergeCell ref="O430:O431"/>
    <mergeCell ref="P430:P431"/>
    <mergeCell ref="Q430:Q431"/>
    <mergeCell ref="M430:M431"/>
    <mergeCell ref="B365:B366"/>
    <mergeCell ref="C365:C366"/>
    <mergeCell ref="D365:D366"/>
    <mergeCell ref="E365:E366"/>
    <mergeCell ref="F365:F366"/>
    <mergeCell ref="R365:R366"/>
    <mergeCell ref="S365:S366"/>
    <mergeCell ref="T365:T366"/>
    <mergeCell ref="U365:U366"/>
    <mergeCell ref="T297:T298"/>
    <mergeCell ref="U297:U298"/>
    <mergeCell ref="V297:V298"/>
    <mergeCell ref="G297:G298"/>
    <mergeCell ref="H297:H298"/>
    <mergeCell ref="O297:O298"/>
    <mergeCell ref="P297:P298"/>
    <mergeCell ref="Q297:Q298"/>
    <mergeCell ref="G365:G366"/>
    <mergeCell ref="H365:H366"/>
    <mergeCell ref="O365:O366"/>
    <mergeCell ref="P365:P366"/>
    <mergeCell ref="Q365:Q366"/>
    <mergeCell ref="B230:B231"/>
    <mergeCell ref="C230:C231"/>
    <mergeCell ref="D230:D231"/>
    <mergeCell ref="E230:E231"/>
    <mergeCell ref="F230:F231"/>
    <mergeCell ref="B297:B298"/>
    <mergeCell ref="C297:C298"/>
    <mergeCell ref="D297:D298"/>
    <mergeCell ref="E297:E298"/>
    <mergeCell ref="F297:F298"/>
    <mergeCell ref="V169:V170"/>
    <mergeCell ref="G169:G170"/>
    <mergeCell ref="H169:H170"/>
    <mergeCell ref="O169:O170"/>
    <mergeCell ref="P169:P170"/>
    <mergeCell ref="Q169:Q170"/>
    <mergeCell ref="V230:V231"/>
    <mergeCell ref="G230:G231"/>
    <mergeCell ref="H230:H231"/>
    <mergeCell ref="O230:O231"/>
    <mergeCell ref="P230:P231"/>
    <mergeCell ref="Q230:Q231"/>
    <mergeCell ref="R230:R231"/>
    <mergeCell ref="S230:S231"/>
    <mergeCell ref="T230:T231"/>
    <mergeCell ref="U230:U231"/>
    <mergeCell ref="I169:I170"/>
    <mergeCell ref="J169:J170"/>
    <mergeCell ref="K169:K170"/>
    <mergeCell ref="L169:L170"/>
    <mergeCell ref="M169:M170"/>
    <mergeCell ref="I230:I231"/>
    <mergeCell ref="J230:J231"/>
    <mergeCell ref="K230:K231"/>
    <mergeCell ref="B169:B170"/>
    <mergeCell ref="C169:C170"/>
    <mergeCell ref="D169:D170"/>
    <mergeCell ref="E169:E170"/>
    <mergeCell ref="F169:F170"/>
    <mergeCell ref="R90:R91"/>
    <mergeCell ref="S90:S91"/>
    <mergeCell ref="T90:T91"/>
    <mergeCell ref="U90:U91"/>
    <mergeCell ref="R169:R170"/>
    <mergeCell ref="S169:S170"/>
    <mergeCell ref="T169:T170"/>
    <mergeCell ref="U169:U170"/>
    <mergeCell ref="I90:I91"/>
    <mergeCell ref="J90:J91"/>
    <mergeCell ref="K90:K91"/>
    <mergeCell ref="L90:L91"/>
    <mergeCell ref="M90:M91"/>
    <mergeCell ref="N169:N170"/>
    <mergeCell ref="V90:V91"/>
    <mergeCell ref="G90:G91"/>
    <mergeCell ref="H90:H91"/>
    <mergeCell ref="O90:O91"/>
    <mergeCell ref="P90:P91"/>
    <mergeCell ref="Q90:Q91"/>
    <mergeCell ref="B90:B91"/>
    <mergeCell ref="C90:C91"/>
    <mergeCell ref="D90:D91"/>
    <mergeCell ref="E90:E91"/>
    <mergeCell ref="F90:F91"/>
    <mergeCell ref="N90:N91"/>
    <mergeCell ref="B10:B11"/>
    <mergeCell ref="C10:C11"/>
    <mergeCell ref="D10:D11"/>
    <mergeCell ref="E10:E11"/>
    <mergeCell ref="F10:F11"/>
    <mergeCell ref="G10:G11"/>
    <mergeCell ref="H10:H11"/>
    <mergeCell ref="R10:R11"/>
    <mergeCell ref="W10:W11"/>
    <mergeCell ref="S10:S11"/>
    <mergeCell ref="V10:V11"/>
    <mergeCell ref="U10:U11"/>
    <mergeCell ref="T10:T11"/>
    <mergeCell ref="Q10:Q11"/>
    <mergeCell ref="P10:P11"/>
    <mergeCell ref="O10:O11"/>
    <mergeCell ref="I10:I11"/>
    <mergeCell ref="J10:J11"/>
    <mergeCell ref="K10:K11"/>
    <mergeCell ref="L10:L11"/>
    <mergeCell ref="M10:M11"/>
    <mergeCell ref="N10:N11"/>
    <mergeCell ref="T516:T517"/>
    <mergeCell ref="U516:U517"/>
    <mergeCell ref="V516:V517"/>
    <mergeCell ref="B516:B517"/>
    <mergeCell ref="C516:C517"/>
    <mergeCell ref="D516:D517"/>
    <mergeCell ref="E516:E517"/>
    <mergeCell ref="F516:F517"/>
    <mergeCell ref="G516:G517"/>
    <mergeCell ref="H516:H517"/>
    <mergeCell ref="O516:O517"/>
    <mergeCell ref="P516:P517"/>
    <mergeCell ref="I516:I517"/>
    <mergeCell ref="J516:J517"/>
    <mergeCell ref="K516:K517"/>
    <mergeCell ref="L516:L517"/>
    <mergeCell ref="M516:M517"/>
    <mergeCell ref="N230:N231"/>
    <mergeCell ref="N297:N298"/>
    <mergeCell ref="N365:N366"/>
    <mergeCell ref="N430:N431"/>
    <mergeCell ref="N485:N486"/>
    <mergeCell ref="N516:N517"/>
    <mergeCell ref="Q516:Q517"/>
    <mergeCell ref="R516:R517"/>
    <mergeCell ref="S516:S517"/>
    <mergeCell ref="R297:R298"/>
    <mergeCell ref="S297:S298"/>
    <mergeCell ref="R430:R431"/>
    <mergeCell ref="S430:S431"/>
    <mergeCell ref="Q485:Q486"/>
    <mergeCell ref="R485:R486"/>
    <mergeCell ref="S485:S48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560"/>
  <sheetViews>
    <sheetView topLeftCell="C545" zoomScaleNormal="100" workbookViewId="0">
      <selection activeCell="Q548" sqref="Q548:Q549"/>
    </sheetView>
  </sheetViews>
  <sheetFormatPr defaultRowHeight="13.2" x14ac:dyDescent="0.25"/>
  <cols>
    <col min="1" max="1" width="13.88671875" customWidth="1"/>
    <col min="2" max="2" width="39.77734375" customWidth="1"/>
    <col min="3" max="3" width="8.77734375" customWidth="1"/>
    <col min="4" max="4" width="9.77734375" customWidth="1"/>
    <col min="5" max="6" width="7.77734375" customWidth="1"/>
    <col min="7" max="7" width="9.88671875" customWidth="1"/>
    <col min="9" max="10" width="15.77734375" customWidth="1"/>
    <col min="11" max="13" width="14.77734375" customWidth="1"/>
    <col min="14" max="15" width="13.77734375" customWidth="1"/>
    <col min="16" max="16" width="11.88671875" customWidth="1"/>
    <col min="17" max="17" width="10" customWidth="1"/>
  </cols>
  <sheetData>
    <row r="2" spans="1:18" ht="14.4" x14ac:dyDescent="0.25">
      <c r="A2" s="66"/>
      <c r="B2" s="152" t="s">
        <v>55</v>
      </c>
      <c r="C2" s="69"/>
    </row>
    <row r="3" spans="1:18" ht="14.4" x14ac:dyDescent="0.25">
      <c r="A3" s="66"/>
      <c r="B3" s="152" t="s">
        <v>56</v>
      </c>
      <c r="C3" s="69"/>
    </row>
    <row r="4" spans="1:18" ht="14.4" x14ac:dyDescent="0.25">
      <c r="B4" s="154" t="s">
        <v>54</v>
      </c>
      <c r="C4" s="71"/>
      <c r="D4" s="69"/>
      <c r="E4" s="72"/>
      <c r="F4" s="72"/>
      <c r="G4" s="72"/>
      <c r="H4" s="72"/>
      <c r="I4" s="72"/>
      <c r="J4" s="72"/>
      <c r="K4" s="72"/>
      <c r="L4" s="72"/>
    </row>
    <row r="5" spans="1:18" ht="15" customHeight="1" x14ac:dyDescent="0.25"/>
    <row r="6" spans="1:18" ht="15" customHeight="1" x14ac:dyDescent="0.25">
      <c r="B6" s="161" t="s">
        <v>380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</row>
    <row r="7" spans="1:18" ht="15" customHeight="1" x14ac:dyDescent="0.25">
      <c r="I7" s="224">
        <v>1</v>
      </c>
      <c r="J7" s="224">
        <v>2</v>
      </c>
      <c r="K7" s="224">
        <v>3</v>
      </c>
      <c r="L7" s="224">
        <v>4</v>
      </c>
      <c r="M7" s="224">
        <v>6</v>
      </c>
      <c r="N7" s="224">
        <v>7</v>
      </c>
      <c r="O7" s="224">
        <v>5</v>
      </c>
      <c r="P7" s="218" t="s">
        <v>194</v>
      </c>
    </row>
    <row r="8" spans="1:18" ht="15.6" x14ac:dyDescent="0.25">
      <c r="B8" s="2" t="s">
        <v>33</v>
      </c>
      <c r="C8" s="3"/>
      <c r="D8" s="4"/>
      <c r="E8" s="4"/>
      <c r="F8" s="4"/>
      <c r="G8" s="4"/>
      <c r="H8" s="4"/>
      <c r="I8" s="6"/>
      <c r="J8" s="6"/>
      <c r="K8" s="6"/>
      <c r="L8" s="6"/>
      <c r="M8" s="5"/>
      <c r="N8" s="44"/>
      <c r="O8" s="44"/>
      <c r="P8" s="44"/>
      <c r="Q8" s="44"/>
      <c r="R8" s="1"/>
    </row>
    <row r="9" spans="1:18" ht="40.049999999999997" customHeight="1" x14ac:dyDescent="0.25">
      <c r="B9" s="843" t="s">
        <v>16</v>
      </c>
      <c r="C9" s="839" t="s">
        <v>17</v>
      </c>
      <c r="D9" s="839" t="s">
        <v>18</v>
      </c>
      <c r="E9" s="842" t="s">
        <v>19</v>
      </c>
      <c r="F9" s="842" t="s">
        <v>13</v>
      </c>
      <c r="G9" s="838" t="s">
        <v>24</v>
      </c>
      <c r="H9" s="838" t="s">
        <v>25</v>
      </c>
      <c r="I9" s="842" t="s">
        <v>82</v>
      </c>
      <c r="J9" s="842" t="s">
        <v>83</v>
      </c>
      <c r="K9" s="838" t="s">
        <v>84</v>
      </c>
      <c r="L9" s="838" t="s">
        <v>85</v>
      </c>
      <c r="M9" s="838" t="s">
        <v>86</v>
      </c>
      <c r="N9" s="848" t="s">
        <v>87</v>
      </c>
      <c r="O9" s="848" t="s">
        <v>88</v>
      </c>
      <c r="P9" s="848" t="s">
        <v>193</v>
      </c>
      <c r="Q9" s="848" t="s">
        <v>192</v>
      </c>
    </row>
    <row r="10" spans="1:18" ht="40.049999999999997" customHeight="1" x14ac:dyDescent="0.25">
      <c r="B10" s="852"/>
      <c r="C10" s="838"/>
      <c r="D10" s="838"/>
      <c r="E10" s="842"/>
      <c r="F10" s="842"/>
      <c r="G10" s="839"/>
      <c r="H10" s="839"/>
      <c r="I10" s="839"/>
      <c r="J10" s="839"/>
      <c r="K10" s="839"/>
      <c r="L10" s="839"/>
      <c r="M10" s="839"/>
      <c r="N10" s="849"/>
      <c r="O10" s="849"/>
      <c r="P10" s="849"/>
      <c r="Q10" s="849"/>
    </row>
    <row r="11" spans="1:18" ht="15.6" x14ac:dyDescent="0.25">
      <c r="A11" s="141" t="s">
        <v>89</v>
      </c>
      <c r="B11" s="59" t="s">
        <v>50</v>
      </c>
      <c r="C11" s="60"/>
      <c r="D11" s="60"/>
      <c r="E11" s="60"/>
      <c r="F11" s="60"/>
      <c r="G11" s="60"/>
      <c r="H11" s="60"/>
      <c r="I11" s="58"/>
      <c r="J11" s="58"/>
      <c r="K11" s="58"/>
      <c r="L11" s="58"/>
      <c r="M11" s="57"/>
      <c r="N11" s="61"/>
      <c r="O11" s="61"/>
      <c r="P11" s="61"/>
      <c r="Q11" s="61"/>
      <c r="R11" s="1"/>
    </row>
    <row r="12" spans="1:18" ht="14.4" x14ac:dyDescent="0.25">
      <c r="A12" s="141"/>
      <c r="B12" s="220" t="s">
        <v>168</v>
      </c>
      <c r="C12" s="579">
        <v>15.1</v>
      </c>
      <c r="D12" s="131">
        <f>17.82</f>
        <v>17.82</v>
      </c>
      <c r="E12" s="567">
        <v>1</v>
      </c>
      <c r="F12" s="568"/>
      <c r="G12" s="568"/>
      <c r="H12" s="568"/>
      <c r="I12" s="569"/>
      <c r="J12" s="569"/>
      <c r="K12" s="569">
        <f>C12*E12</f>
        <v>15.1</v>
      </c>
      <c r="L12" s="569"/>
      <c r="M12" s="570"/>
      <c r="N12" s="571"/>
      <c r="O12" s="571"/>
      <c r="P12" s="571"/>
      <c r="Q12" s="571"/>
    </row>
    <row r="13" spans="1:18" ht="14.4" x14ac:dyDescent="0.25">
      <c r="A13" s="141"/>
      <c r="B13" s="220" t="s">
        <v>258</v>
      </c>
      <c r="C13" s="603">
        <v>23.27</v>
      </c>
      <c r="D13" s="131">
        <f>22.3</f>
        <v>22.3</v>
      </c>
      <c r="E13" s="567">
        <v>1</v>
      </c>
      <c r="F13" s="568"/>
      <c r="G13" s="568"/>
      <c r="H13" s="568"/>
      <c r="I13" s="569"/>
      <c r="J13" s="569"/>
      <c r="K13" s="569">
        <f>C13*E13</f>
        <v>23.27</v>
      </c>
      <c r="L13" s="569"/>
      <c r="M13" s="570"/>
      <c r="N13" s="571"/>
      <c r="O13" s="571"/>
      <c r="P13" s="571"/>
      <c r="Q13" s="571"/>
    </row>
    <row r="14" spans="1:18" ht="14.4" x14ac:dyDescent="0.25">
      <c r="A14" s="141"/>
      <c r="B14" s="220" t="s">
        <v>705</v>
      </c>
      <c r="C14" s="603">
        <v>28.63</v>
      </c>
      <c r="D14" s="131">
        <f>22.61</f>
        <v>22.61</v>
      </c>
      <c r="E14" s="567">
        <v>1</v>
      </c>
      <c r="F14" s="568"/>
      <c r="G14" s="568"/>
      <c r="H14" s="568"/>
      <c r="I14" s="569">
        <f>C14*E14</f>
        <v>28.63</v>
      </c>
      <c r="J14" s="569"/>
      <c r="K14" s="569"/>
      <c r="L14" s="569"/>
      <c r="M14" s="570"/>
      <c r="N14" s="571"/>
      <c r="O14" s="571"/>
      <c r="P14" s="63">
        <f>D14*E14</f>
        <v>22.61</v>
      </c>
      <c r="Q14" s="78">
        <f>D14*E14</f>
        <v>22.61</v>
      </c>
    </row>
    <row r="15" spans="1:18" ht="14.4" x14ac:dyDescent="0.25">
      <c r="A15" s="141"/>
      <c r="B15" s="220" t="s">
        <v>706</v>
      </c>
      <c r="C15" s="603">
        <v>346.68</v>
      </c>
      <c r="D15" s="131">
        <f>76.54</f>
        <v>76.540000000000006</v>
      </c>
      <c r="E15" s="567">
        <v>1</v>
      </c>
      <c r="F15" s="568"/>
      <c r="G15" s="568"/>
      <c r="H15" s="568"/>
      <c r="I15" s="569"/>
      <c r="J15" s="569"/>
      <c r="K15" s="569"/>
      <c r="L15" s="569"/>
      <c r="M15" s="570"/>
      <c r="N15" s="571"/>
      <c r="O15" s="571"/>
      <c r="P15" s="571"/>
      <c r="Q15" s="571"/>
    </row>
    <row r="16" spans="1:18" ht="14.4" x14ac:dyDescent="0.25">
      <c r="B16" s="15" t="s">
        <v>168</v>
      </c>
      <c r="C16" s="73">
        <v>13.6</v>
      </c>
      <c r="D16" s="131">
        <v>17.39</v>
      </c>
      <c r="E16" s="33">
        <v>1</v>
      </c>
      <c r="F16" s="131"/>
      <c r="G16" s="131"/>
      <c r="H16" s="131"/>
      <c r="I16" s="46">
        <f>C16*E16</f>
        <v>13.6</v>
      </c>
      <c r="J16" s="46"/>
      <c r="K16" s="46"/>
      <c r="L16" s="46"/>
      <c r="M16" s="136"/>
      <c r="N16" s="63"/>
      <c r="O16" s="63"/>
      <c r="P16" s="63">
        <f>D16*E16</f>
        <v>17.39</v>
      </c>
      <c r="Q16" s="78">
        <f>D16*E16</f>
        <v>17.39</v>
      </c>
    </row>
    <row r="17" spans="2:17" ht="14.4" x14ac:dyDescent="0.25">
      <c r="B17" s="15" t="s">
        <v>168</v>
      </c>
      <c r="C17" s="73">
        <v>6.25</v>
      </c>
      <c r="D17" s="131">
        <v>12.5</v>
      </c>
      <c r="E17" s="33">
        <v>1</v>
      </c>
      <c r="F17" s="131"/>
      <c r="G17" s="131"/>
      <c r="H17" s="131"/>
      <c r="I17" s="46"/>
      <c r="J17" s="46"/>
      <c r="K17" s="46">
        <f>C17*E17</f>
        <v>6.25</v>
      </c>
      <c r="L17" s="46"/>
      <c r="M17" s="136"/>
      <c r="N17" s="63"/>
      <c r="O17" s="63"/>
      <c r="P17" s="63"/>
      <c r="Q17" s="78"/>
    </row>
    <row r="18" spans="2:17" ht="14.4" x14ac:dyDescent="0.25">
      <c r="B18" s="15" t="s">
        <v>169</v>
      </c>
      <c r="C18" s="73">
        <v>3.21</v>
      </c>
      <c r="D18" s="131">
        <v>7.28</v>
      </c>
      <c r="E18" s="33">
        <v>1</v>
      </c>
      <c r="F18" s="131"/>
      <c r="G18" s="131"/>
      <c r="H18" s="131"/>
      <c r="I18" s="46">
        <f>C18*E18</f>
        <v>3.21</v>
      </c>
      <c r="J18" s="46"/>
      <c r="K18" s="46"/>
      <c r="L18" s="46"/>
      <c r="M18" s="136"/>
      <c r="N18" s="63"/>
      <c r="O18" s="63"/>
      <c r="P18" s="63">
        <f>D18*E18</f>
        <v>7.28</v>
      </c>
      <c r="Q18" s="78">
        <f>D18*E18</f>
        <v>7.28</v>
      </c>
    </row>
    <row r="19" spans="2:17" ht="14.4" x14ac:dyDescent="0.25">
      <c r="B19" s="15" t="s">
        <v>170</v>
      </c>
      <c r="C19" s="73">
        <v>22.6</v>
      </c>
      <c r="D19" s="131">
        <v>21.68</v>
      </c>
      <c r="E19" s="33">
        <v>1</v>
      </c>
      <c r="F19" s="131"/>
      <c r="G19" s="131"/>
      <c r="H19" s="131"/>
      <c r="I19" s="46">
        <f>C19*E19</f>
        <v>22.6</v>
      </c>
      <c r="J19" s="46"/>
      <c r="K19" s="46"/>
      <c r="L19" s="46"/>
      <c r="M19" s="136"/>
      <c r="N19" s="63"/>
      <c r="O19" s="63"/>
      <c r="P19" s="63">
        <f>D19*E19</f>
        <v>21.68</v>
      </c>
      <c r="Q19" s="78">
        <f>D19*E19</f>
        <v>21.68</v>
      </c>
    </row>
    <row r="20" spans="2:17" ht="14.4" x14ac:dyDescent="0.25">
      <c r="B20" s="15" t="s">
        <v>189</v>
      </c>
      <c r="C20" s="73">
        <v>3.21</v>
      </c>
      <c r="D20" s="131">
        <v>7.28</v>
      </c>
      <c r="E20" s="33">
        <v>1</v>
      </c>
      <c r="F20" s="131"/>
      <c r="G20" s="131"/>
      <c r="H20" s="131"/>
      <c r="I20" s="46"/>
      <c r="J20" s="46">
        <f>C20*E20</f>
        <v>3.21</v>
      </c>
      <c r="K20" s="46"/>
      <c r="L20" s="46"/>
      <c r="M20" s="136"/>
      <c r="N20" s="63"/>
      <c r="O20" s="63"/>
      <c r="P20" s="63">
        <f>D20*E20</f>
        <v>7.28</v>
      </c>
      <c r="Q20" s="78">
        <f>D20*E20</f>
        <v>7.28</v>
      </c>
    </row>
    <row r="21" spans="2:17" ht="14.4" x14ac:dyDescent="0.25">
      <c r="B21" s="15" t="s">
        <v>171</v>
      </c>
      <c r="C21" s="73">
        <v>2.68</v>
      </c>
      <c r="D21" s="131">
        <v>6.55</v>
      </c>
      <c r="E21" s="33">
        <v>1</v>
      </c>
      <c r="F21" s="131"/>
      <c r="G21" s="131"/>
      <c r="H21" s="131"/>
      <c r="I21" s="46"/>
      <c r="J21" s="46">
        <f t="shared" ref="J21:J25" si="0">C21*E21</f>
        <v>2.68</v>
      </c>
      <c r="K21" s="46"/>
      <c r="L21" s="46"/>
      <c r="M21" s="136"/>
      <c r="N21" s="63"/>
      <c r="O21" s="63"/>
      <c r="P21" s="63">
        <f t="shared" ref="P21:P22" si="1">D21*E21</f>
        <v>6.55</v>
      </c>
      <c r="Q21" s="78">
        <f t="shared" ref="Q21:Q22" si="2">D21*E21</f>
        <v>6.55</v>
      </c>
    </row>
    <row r="22" spans="2:17" ht="14.4" x14ac:dyDescent="0.25">
      <c r="B22" s="15" t="s">
        <v>172</v>
      </c>
      <c r="C22" s="73">
        <v>2.68</v>
      </c>
      <c r="D22" s="131">
        <v>6.58</v>
      </c>
      <c r="E22" s="33">
        <v>1</v>
      </c>
      <c r="F22" s="131"/>
      <c r="G22" s="131"/>
      <c r="H22" s="131"/>
      <c r="I22" s="46"/>
      <c r="J22" s="46">
        <f t="shared" si="0"/>
        <v>2.68</v>
      </c>
      <c r="K22" s="46"/>
      <c r="L22" s="46"/>
      <c r="M22" s="136"/>
      <c r="N22" s="63"/>
      <c r="O22" s="63"/>
      <c r="P22" s="63">
        <f t="shared" si="1"/>
        <v>6.58</v>
      </c>
      <c r="Q22" s="78">
        <f t="shared" si="2"/>
        <v>6.58</v>
      </c>
    </row>
    <row r="23" spans="2:17" ht="14.4" x14ac:dyDescent="0.25">
      <c r="B23" s="15" t="s">
        <v>168</v>
      </c>
      <c r="C23" s="73">
        <v>12.54</v>
      </c>
      <c r="D23" s="131">
        <v>17.600000000000001</v>
      </c>
      <c r="E23" s="33">
        <v>1</v>
      </c>
      <c r="F23" s="131"/>
      <c r="G23" s="131"/>
      <c r="H23" s="131"/>
      <c r="I23" s="46"/>
      <c r="J23" s="46"/>
      <c r="K23" s="46"/>
      <c r="L23" s="46">
        <f>C23*E23</f>
        <v>12.54</v>
      </c>
      <c r="M23" s="136"/>
      <c r="N23" s="63"/>
      <c r="O23" s="63"/>
      <c r="P23" s="63"/>
      <c r="Q23" s="78"/>
    </row>
    <row r="24" spans="2:17" ht="14.4" x14ac:dyDescent="0.25">
      <c r="B24" s="15" t="s">
        <v>174</v>
      </c>
      <c r="C24" s="73">
        <v>7.56</v>
      </c>
      <c r="D24" s="131">
        <v>11.1</v>
      </c>
      <c r="E24" s="33">
        <v>1</v>
      </c>
      <c r="F24" s="131"/>
      <c r="G24" s="131"/>
      <c r="H24" s="131"/>
      <c r="I24" s="46"/>
      <c r="J24" s="46">
        <f t="shared" si="0"/>
        <v>7.56</v>
      </c>
      <c r="K24" s="46"/>
      <c r="L24" s="46"/>
      <c r="M24" s="136"/>
      <c r="N24" s="63"/>
      <c r="O24" s="63"/>
      <c r="P24" s="63">
        <f t="shared" ref="P24:P25" si="3">D24*E24</f>
        <v>11.1</v>
      </c>
      <c r="Q24" s="73">
        <f t="shared" ref="Q24:Q25" si="4">D24*E24</f>
        <v>11.1</v>
      </c>
    </row>
    <row r="25" spans="2:17" ht="14.4" x14ac:dyDescent="0.25">
      <c r="B25" s="15" t="s">
        <v>173</v>
      </c>
      <c r="C25" s="73">
        <v>7.85</v>
      </c>
      <c r="D25" s="131">
        <v>11.34</v>
      </c>
      <c r="E25" s="33">
        <v>1</v>
      </c>
      <c r="F25" s="131"/>
      <c r="G25" s="131"/>
      <c r="H25" s="131"/>
      <c r="I25" s="46"/>
      <c r="J25" s="46">
        <f t="shared" si="0"/>
        <v>7.85</v>
      </c>
      <c r="K25" s="46"/>
      <c r="L25" s="46"/>
      <c r="M25" s="136"/>
      <c r="N25" s="63"/>
      <c r="O25" s="63"/>
      <c r="P25" s="63">
        <f t="shared" si="3"/>
        <v>11.34</v>
      </c>
      <c r="Q25" s="78">
        <f t="shared" si="4"/>
        <v>11.34</v>
      </c>
    </row>
    <row r="26" spans="2:17" ht="14.4" x14ac:dyDescent="0.25">
      <c r="B26" s="15" t="s">
        <v>175</v>
      </c>
      <c r="C26" s="73">
        <v>7.23</v>
      </c>
      <c r="D26" s="131">
        <v>10.96</v>
      </c>
      <c r="E26" s="33">
        <v>1</v>
      </c>
      <c r="F26" s="131"/>
      <c r="G26" s="131"/>
      <c r="H26" s="131"/>
      <c r="I26" s="46">
        <f>C26*E26</f>
        <v>7.23</v>
      </c>
      <c r="J26" s="46"/>
      <c r="K26" s="46"/>
      <c r="L26" s="46"/>
      <c r="M26" s="136"/>
      <c r="N26" s="63"/>
      <c r="O26" s="63"/>
      <c r="P26" s="63">
        <f t="shared" ref="P26" si="5">D26*E26</f>
        <v>10.96</v>
      </c>
      <c r="Q26" s="78">
        <f t="shared" ref="Q26" si="6">D26*E26</f>
        <v>10.96</v>
      </c>
    </row>
    <row r="27" spans="2:17" ht="14.4" x14ac:dyDescent="0.25">
      <c r="B27" s="15" t="s">
        <v>176</v>
      </c>
      <c r="C27" s="73">
        <v>25.34</v>
      </c>
      <c r="D27" s="131">
        <v>24.8</v>
      </c>
      <c r="E27" s="33">
        <v>1</v>
      </c>
      <c r="F27" s="131"/>
      <c r="G27" s="131"/>
      <c r="H27" s="131"/>
      <c r="I27" s="46">
        <f>C27*E27</f>
        <v>25.34</v>
      </c>
      <c r="J27" s="46"/>
      <c r="K27" s="46"/>
      <c r="L27" s="46"/>
      <c r="M27" s="136"/>
      <c r="N27" s="63"/>
      <c r="O27" s="63"/>
      <c r="P27" s="63">
        <f t="shared" ref="P27" si="7">D27*E27</f>
        <v>24.8</v>
      </c>
      <c r="Q27" s="78">
        <f t="shared" ref="Q27" si="8">D27*E27</f>
        <v>24.8</v>
      </c>
    </row>
    <row r="28" spans="2:17" ht="14.4" x14ac:dyDescent="0.25">
      <c r="B28" s="15" t="s">
        <v>177</v>
      </c>
      <c r="C28" s="73">
        <v>4.16</v>
      </c>
      <c r="D28" s="131">
        <v>8.4</v>
      </c>
      <c r="E28" s="33">
        <v>1</v>
      </c>
      <c r="F28" s="131"/>
      <c r="G28" s="131"/>
      <c r="H28" s="131"/>
      <c r="I28" s="46"/>
      <c r="J28" s="46"/>
      <c r="K28" s="46"/>
      <c r="L28" s="46"/>
      <c r="M28" s="136"/>
      <c r="N28" s="63"/>
      <c r="O28" s="63">
        <f>C28*E28</f>
        <v>4.16</v>
      </c>
      <c r="P28" s="63"/>
      <c r="Q28" s="78"/>
    </row>
    <row r="29" spans="2:17" ht="14.4" x14ac:dyDescent="0.25">
      <c r="B29" s="15" t="s">
        <v>178</v>
      </c>
      <c r="C29" s="73">
        <v>6</v>
      </c>
      <c r="D29" s="131">
        <v>9.8000000000000007</v>
      </c>
      <c r="E29" s="33">
        <v>1</v>
      </c>
      <c r="F29" s="131"/>
      <c r="G29" s="131"/>
      <c r="H29" s="131"/>
      <c r="I29" s="46">
        <f>C29*E29</f>
        <v>6</v>
      </c>
      <c r="J29" s="46"/>
      <c r="K29" s="46"/>
      <c r="L29" s="46"/>
      <c r="M29" s="136"/>
      <c r="N29" s="63"/>
      <c r="O29" s="63"/>
      <c r="P29" s="63">
        <f t="shared" ref="P29" si="9">D29*E29</f>
        <v>9.8000000000000007</v>
      </c>
      <c r="Q29" s="73">
        <f t="shared" ref="Q29" si="10">D29*E29</f>
        <v>9.8000000000000007</v>
      </c>
    </row>
    <row r="30" spans="2:17" ht="14.4" x14ac:dyDescent="0.25">
      <c r="B30" s="15" t="s">
        <v>179</v>
      </c>
      <c r="C30" s="73">
        <v>29.62</v>
      </c>
      <c r="D30" s="131">
        <v>29.4</v>
      </c>
      <c r="E30" s="33">
        <v>1</v>
      </c>
      <c r="F30" s="131"/>
      <c r="G30" s="131"/>
      <c r="H30" s="131"/>
      <c r="I30" s="46">
        <f>C30*E30</f>
        <v>29.62</v>
      </c>
      <c r="J30" s="46"/>
      <c r="K30" s="46"/>
      <c r="L30" s="46"/>
      <c r="M30" s="136"/>
      <c r="N30" s="63"/>
      <c r="O30" s="63"/>
      <c r="P30" s="63">
        <f t="shared" ref="P30" si="11">D30*E30</f>
        <v>29.4</v>
      </c>
      <c r="Q30" s="73">
        <f t="shared" ref="Q30" si="12">D30*E30</f>
        <v>29.4</v>
      </c>
    </row>
    <row r="31" spans="2:17" ht="14.4" x14ac:dyDescent="0.25">
      <c r="B31" s="15" t="s">
        <v>161</v>
      </c>
      <c r="C31" s="73">
        <v>34.35</v>
      </c>
      <c r="D31" s="131">
        <v>24.1</v>
      </c>
      <c r="E31" s="33">
        <v>1</v>
      </c>
      <c r="F31" s="131"/>
      <c r="G31" s="131"/>
      <c r="H31" s="131"/>
      <c r="I31" s="46">
        <f>C31*E31</f>
        <v>34.35</v>
      </c>
      <c r="J31" s="46"/>
      <c r="K31" s="46"/>
      <c r="L31" s="46"/>
      <c r="M31" s="136"/>
      <c r="N31" s="63"/>
      <c r="O31" s="63"/>
      <c r="P31" s="63">
        <f t="shared" ref="P31" si="13">D31*E31</f>
        <v>24.1</v>
      </c>
      <c r="Q31" s="73">
        <f t="shared" ref="Q31" si="14">D31*E31</f>
        <v>24.1</v>
      </c>
    </row>
    <row r="32" spans="2:17" ht="14.4" x14ac:dyDescent="0.25">
      <c r="B32" s="15" t="s">
        <v>180</v>
      </c>
      <c r="C32" s="73">
        <v>4.34</v>
      </c>
      <c r="D32" s="131">
        <v>8.5</v>
      </c>
      <c r="E32" s="33">
        <v>1</v>
      </c>
      <c r="F32" s="131"/>
      <c r="G32" s="131"/>
      <c r="H32" s="131"/>
      <c r="I32" s="46"/>
      <c r="J32" s="46">
        <f t="shared" ref="J32:J33" si="15">C32*E32</f>
        <v>4.34</v>
      </c>
      <c r="K32" s="46"/>
      <c r="L32" s="46"/>
      <c r="M32" s="136"/>
      <c r="N32" s="63"/>
      <c r="O32" s="63"/>
      <c r="P32" s="63">
        <f t="shared" ref="P32" si="16">D32*E32</f>
        <v>8.5</v>
      </c>
      <c r="Q32" s="73">
        <f t="shared" ref="Q32" si="17">D32*E32</f>
        <v>8.5</v>
      </c>
    </row>
    <row r="33" spans="2:18" ht="14.4" x14ac:dyDescent="0.25">
      <c r="B33" s="15" t="s">
        <v>158</v>
      </c>
      <c r="C33" s="73">
        <v>3.06</v>
      </c>
      <c r="D33" s="131">
        <v>7.5</v>
      </c>
      <c r="E33" s="33">
        <v>1</v>
      </c>
      <c r="F33" s="131"/>
      <c r="G33" s="131"/>
      <c r="H33" s="131"/>
      <c r="I33" s="46"/>
      <c r="J33" s="46">
        <f t="shared" si="15"/>
        <v>3.06</v>
      </c>
      <c r="K33" s="46"/>
      <c r="L33" s="46"/>
      <c r="M33" s="136"/>
      <c r="N33" s="63"/>
      <c r="O33" s="63"/>
      <c r="P33" s="63">
        <f t="shared" ref="P33" si="18">D33*E33</f>
        <v>7.5</v>
      </c>
      <c r="Q33" s="73">
        <f t="shared" ref="Q33" si="19">D33*E33</f>
        <v>7.5</v>
      </c>
    </row>
    <row r="34" spans="2:18" ht="14.4" x14ac:dyDescent="0.25">
      <c r="B34" s="15" t="s">
        <v>181</v>
      </c>
      <c r="C34" s="73">
        <v>16.23</v>
      </c>
      <c r="D34" s="131">
        <v>16.559999999999999</v>
      </c>
      <c r="E34" s="33">
        <v>1</v>
      </c>
      <c r="F34" s="131"/>
      <c r="G34" s="131"/>
      <c r="H34" s="131"/>
      <c r="I34" s="46">
        <f>C34*E34</f>
        <v>16.23</v>
      </c>
      <c r="J34" s="46"/>
      <c r="K34" s="46"/>
      <c r="L34" s="46"/>
      <c r="M34" s="136"/>
      <c r="N34" s="63"/>
      <c r="O34" s="63"/>
      <c r="P34" s="63">
        <f t="shared" ref="P34" si="20">D34*E34</f>
        <v>16.559999999999999</v>
      </c>
      <c r="Q34" s="73">
        <f t="shared" ref="Q34" si="21">D34*E34</f>
        <v>16.559999999999999</v>
      </c>
    </row>
    <row r="35" spans="2:18" ht="14.4" x14ac:dyDescent="0.25">
      <c r="B35" s="15" t="s">
        <v>182</v>
      </c>
      <c r="C35" s="73">
        <v>23.87</v>
      </c>
      <c r="D35" s="131">
        <v>19.61</v>
      </c>
      <c r="E35" s="33">
        <v>1</v>
      </c>
      <c r="F35" s="131"/>
      <c r="G35" s="131"/>
      <c r="H35" s="131"/>
      <c r="I35" s="46">
        <f>C35*E35</f>
        <v>23.87</v>
      </c>
      <c r="J35" s="46"/>
      <c r="K35" s="46"/>
      <c r="L35" s="46"/>
      <c r="M35" s="136"/>
      <c r="N35" s="63"/>
      <c r="O35" s="63"/>
      <c r="P35" s="63">
        <f t="shared" ref="P35" si="22">D35*E35</f>
        <v>19.61</v>
      </c>
      <c r="Q35" s="73">
        <f t="shared" ref="Q35" si="23">D35*E35</f>
        <v>19.61</v>
      </c>
    </row>
    <row r="36" spans="2:18" ht="14.4" x14ac:dyDescent="0.25">
      <c r="B36" s="15" t="s">
        <v>183</v>
      </c>
      <c r="C36" s="73">
        <v>12.29</v>
      </c>
      <c r="D36" s="131">
        <v>14.8</v>
      </c>
      <c r="E36" s="33">
        <v>1</v>
      </c>
      <c r="F36" s="131"/>
      <c r="G36" s="131"/>
      <c r="H36" s="131"/>
      <c r="I36" s="46">
        <f t="shared" ref="I36:I41" si="24">C36*E36</f>
        <v>12.29</v>
      </c>
      <c r="J36" s="46"/>
      <c r="K36" s="46"/>
      <c r="L36" s="46"/>
      <c r="M36" s="136"/>
      <c r="N36" s="63"/>
      <c r="O36" s="63"/>
      <c r="P36" s="63">
        <f t="shared" ref="P36:P37" si="25">D36*E36</f>
        <v>14.8</v>
      </c>
      <c r="Q36" s="73">
        <f t="shared" ref="Q36:Q37" si="26">D36*E36</f>
        <v>14.8</v>
      </c>
    </row>
    <row r="37" spans="2:18" ht="14.4" x14ac:dyDescent="0.25">
      <c r="B37" s="15" t="s">
        <v>184</v>
      </c>
      <c r="C37" s="73">
        <v>12.95</v>
      </c>
      <c r="D37" s="131">
        <v>15.07</v>
      </c>
      <c r="E37" s="33">
        <v>1</v>
      </c>
      <c r="F37" s="131"/>
      <c r="G37" s="131"/>
      <c r="H37" s="131"/>
      <c r="I37" s="46">
        <f t="shared" si="24"/>
        <v>12.95</v>
      </c>
      <c r="J37" s="46"/>
      <c r="K37" s="46"/>
      <c r="L37" s="46"/>
      <c r="M37" s="136"/>
      <c r="N37" s="63"/>
      <c r="O37" s="63"/>
      <c r="P37" s="63">
        <f t="shared" si="25"/>
        <v>15.07</v>
      </c>
      <c r="Q37" s="73">
        <f t="shared" si="26"/>
        <v>15.07</v>
      </c>
    </row>
    <row r="38" spans="2:18" ht="14.4" x14ac:dyDescent="0.25">
      <c r="B38" s="15" t="s">
        <v>185</v>
      </c>
      <c r="C38" s="73">
        <v>9.17</v>
      </c>
      <c r="D38" s="131">
        <v>14.55</v>
      </c>
      <c r="E38" s="33">
        <v>1</v>
      </c>
      <c r="F38" s="131"/>
      <c r="G38" s="131"/>
      <c r="H38" s="131"/>
      <c r="I38" s="46"/>
      <c r="J38" s="46"/>
      <c r="K38" s="46"/>
      <c r="L38" s="46">
        <f>C38*E38</f>
        <v>9.17</v>
      </c>
      <c r="M38" s="136"/>
      <c r="N38" s="63"/>
      <c r="O38" s="63"/>
      <c r="P38" s="63"/>
      <c r="Q38" s="78"/>
    </row>
    <row r="39" spans="2:18" ht="14.4" x14ac:dyDescent="0.25">
      <c r="B39" s="15" t="s">
        <v>186</v>
      </c>
      <c r="C39" s="73">
        <v>6.94</v>
      </c>
      <c r="D39" s="131">
        <v>10.89</v>
      </c>
      <c r="E39" s="33">
        <v>1</v>
      </c>
      <c r="F39" s="131"/>
      <c r="G39" s="131"/>
      <c r="H39" s="131"/>
      <c r="I39" s="46">
        <f t="shared" si="24"/>
        <v>6.94</v>
      </c>
      <c r="J39" s="46"/>
      <c r="K39" s="46"/>
      <c r="L39" s="46"/>
      <c r="M39" s="136"/>
      <c r="N39" s="63"/>
      <c r="O39" s="63"/>
      <c r="P39" s="63">
        <f t="shared" ref="P39" si="27">D39*E39</f>
        <v>10.89</v>
      </c>
      <c r="Q39" s="73">
        <f t="shared" ref="Q39" si="28">D39*E39</f>
        <v>10.89</v>
      </c>
    </row>
    <row r="40" spans="2:18" ht="14.4" x14ac:dyDescent="0.25">
      <c r="B40" s="15" t="s">
        <v>187</v>
      </c>
      <c r="C40" s="73">
        <v>5.3</v>
      </c>
      <c r="D40" s="131">
        <v>9.3000000000000007</v>
      </c>
      <c r="E40" s="33">
        <v>1</v>
      </c>
      <c r="F40" s="131"/>
      <c r="G40" s="131"/>
      <c r="H40" s="131"/>
      <c r="I40" s="46">
        <f t="shared" si="24"/>
        <v>5.3</v>
      </c>
      <c r="J40" s="46"/>
      <c r="K40" s="46"/>
      <c r="L40" s="46"/>
      <c r="M40" s="136"/>
      <c r="N40" s="63"/>
      <c r="O40" s="63"/>
      <c r="P40" s="63">
        <f t="shared" ref="P40:P42" si="29">D40*E40</f>
        <v>9.3000000000000007</v>
      </c>
      <c r="Q40" s="73">
        <f t="shared" ref="Q40:Q41" si="30">D40*E40</f>
        <v>9.3000000000000007</v>
      </c>
    </row>
    <row r="41" spans="2:18" ht="14.4" x14ac:dyDescent="0.25">
      <c r="B41" s="15" t="s">
        <v>188</v>
      </c>
      <c r="C41" s="73">
        <v>5.9</v>
      </c>
      <c r="D41" s="131">
        <v>9.75</v>
      </c>
      <c r="E41" s="33">
        <v>1</v>
      </c>
      <c r="F41" s="131"/>
      <c r="G41" s="131"/>
      <c r="H41" s="131"/>
      <c r="I41" s="46">
        <f t="shared" si="24"/>
        <v>5.9</v>
      </c>
      <c r="J41" s="46"/>
      <c r="K41" s="46"/>
      <c r="L41" s="46"/>
      <c r="M41" s="136"/>
      <c r="N41" s="63"/>
      <c r="O41" s="63"/>
      <c r="P41" s="63">
        <f t="shared" si="29"/>
        <v>9.75</v>
      </c>
      <c r="Q41" s="73">
        <f t="shared" si="30"/>
        <v>9.75</v>
      </c>
    </row>
    <row r="42" spans="2:18" ht="14.4" x14ac:dyDescent="0.25">
      <c r="B42" s="220" t="s">
        <v>168</v>
      </c>
      <c r="C42" s="222">
        <v>23.22</v>
      </c>
      <c r="D42" s="131">
        <v>30.86</v>
      </c>
      <c r="E42" s="33">
        <v>1</v>
      </c>
      <c r="F42" s="131"/>
      <c r="G42" s="131"/>
      <c r="H42" s="131"/>
      <c r="I42" s="46">
        <f>C42*E42</f>
        <v>23.22</v>
      </c>
      <c r="J42" s="46"/>
      <c r="K42" s="46"/>
      <c r="L42" s="46"/>
      <c r="M42" s="136"/>
      <c r="N42" s="63"/>
      <c r="O42" s="63"/>
      <c r="P42" s="63">
        <f t="shared" si="29"/>
        <v>30.86</v>
      </c>
      <c r="Q42" s="78">
        <f>D42*E42</f>
        <v>30.86</v>
      </c>
    </row>
    <row r="43" spans="2:18" ht="14.4" x14ac:dyDescent="0.25">
      <c r="B43" s="157" t="s">
        <v>168</v>
      </c>
      <c r="C43" s="73">
        <v>10.4</v>
      </c>
      <c r="D43" s="131">
        <v>21.64</v>
      </c>
      <c r="E43" s="33">
        <v>1</v>
      </c>
      <c r="F43" s="131"/>
      <c r="G43" s="131"/>
      <c r="H43" s="131"/>
      <c r="I43" s="46"/>
      <c r="J43" s="46"/>
      <c r="K43" s="46">
        <f>C43*E43</f>
        <v>10.4</v>
      </c>
      <c r="L43" s="46"/>
      <c r="M43" s="136"/>
      <c r="N43" s="63"/>
      <c r="O43" s="63"/>
      <c r="P43" s="63"/>
      <c r="Q43" s="78"/>
    </row>
    <row r="44" spans="2:18" ht="14.4" x14ac:dyDescent="0.25">
      <c r="B44" s="15" t="s">
        <v>190</v>
      </c>
      <c r="C44" s="73">
        <v>6.61</v>
      </c>
      <c r="D44" s="131">
        <v>10.55</v>
      </c>
      <c r="E44" s="33">
        <v>2</v>
      </c>
      <c r="F44" s="131"/>
      <c r="G44" s="131"/>
      <c r="H44" s="131"/>
      <c r="I44" s="46"/>
      <c r="J44" s="46">
        <f>C44*E44</f>
        <v>13.22</v>
      </c>
      <c r="K44" s="46"/>
      <c r="L44" s="46"/>
      <c r="M44" s="136"/>
      <c r="N44" s="63"/>
      <c r="O44" s="63"/>
      <c r="P44" s="63">
        <f t="shared" ref="P44" si="31">D44*E44</f>
        <v>21.1</v>
      </c>
      <c r="Q44" s="78">
        <f>D44*E44</f>
        <v>21.1</v>
      </c>
    </row>
    <row r="45" spans="2:18" ht="14.4" x14ac:dyDescent="0.25">
      <c r="B45" s="220" t="s">
        <v>168</v>
      </c>
      <c r="C45" s="222">
        <v>170.79</v>
      </c>
      <c r="D45" s="131">
        <v>93.29</v>
      </c>
      <c r="E45" s="33">
        <v>1</v>
      </c>
      <c r="F45" s="131"/>
      <c r="G45" s="131"/>
      <c r="H45" s="131"/>
      <c r="I45" s="46">
        <f>C45*E45</f>
        <v>170.79</v>
      </c>
      <c r="J45" s="46"/>
      <c r="K45" s="46"/>
      <c r="L45" s="46"/>
      <c r="M45" s="136"/>
      <c r="N45" s="63"/>
      <c r="O45" s="63"/>
      <c r="P45" s="63">
        <f t="shared" ref="P45" si="32">D45*E45</f>
        <v>93.29</v>
      </c>
      <c r="Q45" s="78">
        <f>D45*E45</f>
        <v>93.29</v>
      </c>
    </row>
    <row r="46" spans="2:18" ht="14.4" x14ac:dyDescent="0.25">
      <c r="B46" s="157" t="s">
        <v>168</v>
      </c>
      <c r="C46" s="73">
        <v>54.7</v>
      </c>
      <c r="D46" s="131">
        <v>92.52</v>
      </c>
      <c r="E46" s="33">
        <v>1</v>
      </c>
      <c r="F46" s="131"/>
      <c r="G46" s="131"/>
      <c r="H46" s="131"/>
      <c r="I46" s="46"/>
      <c r="J46" s="46"/>
      <c r="K46" s="46">
        <f>C46*E46</f>
        <v>54.7</v>
      </c>
      <c r="L46" s="46"/>
      <c r="M46" s="136"/>
      <c r="N46" s="63"/>
      <c r="O46" s="63"/>
      <c r="P46" s="63"/>
      <c r="Q46" s="225"/>
      <c r="R46" s="1"/>
    </row>
    <row r="47" spans="2:18" ht="15" thickBot="1" x14ac:dyDescent="0.3">
      <c r="B47" s="275" t="s">
        <v>168</v>
      </c>
      <c r="C47" s="344">
        <v>27</v>
      </c>
      <c r="D47" s="328">
        <v>35.04</v>
      </c>
      <c r="E47" s="330">
        <v>1</v>
      </c>
      <c r="F47" s="328"/>
      <c r="G47" s="328"/>
      <c r="H47" s="328"/>
      <c r="I47" s="358"/>
      <c r="J47" s="358"/>
      <c r="K47" s="358"/>
      <c r="L47" s="358">
        <f>C47*E47</f>
        <v>27</v>
      </c>
      <c r="M47" s="359"/>
      <c r="N47" s="360"/>
      <c r="O47" s="360"/>
      <c r="P47" s="360"/>
      <c r="Q47" s="361"/>
      <c r="R47" s="1"/>
    </row>
    <row r="48" spans="2:18" ht="14.4" x14ac:dyDescent="0.25">
      <c r="B48" s="318" t="s">
        <v>168</v>
      </c>
      <c r="C48" s="350">
        <v>30.17</v>
      </c>
      <c r="D48" s="322">
        <f>34.4</f>
        <v>34.4</v>
      </c>
      <c r="E48" s="29">
        <v>1</v>
      </c>
      <c r="F48" s="322"/>
      <c r="G48" s="322"/>
      <c r="H48" s="322"/>
      <c r="I48" s="46">
        <f>C48*E48</f>
        <v>30.17</v>
      </c>
      <c r="J48" s="46"/>
      <c r="K48" s="46"/>
      <c r="L48" s="46"/>
      <c r="M48" s="136"/>
      <c r="N48" s="63"/>
      <c r="O48" s="63"/>
      <c r="P48" s="63">
        <f t="shared" ref="P48" si="33">D48*E48</f>
        <v>34.4</v>
      </c>
      <c r="Q48" s="78">
        <f>D48*E48</f>
        <v>34.4</v>
      </c>
      <c r="R48" s="1"/>
    </row>
    <row r="49" spans="2:18" ht="14.4" x14ac:dyDescent="0.25">
      <c r="B49" s="366" t="s">
        <v>168</v>
      </c>
      <c r="C49" s="343">
        <v>18.489999999999998</v>
      </c>
      <c r="D49" s="322">
        <v>32.08</v>
      </c>
      <c r="E49" s="29">
        <v>1</v>
      </c>
      <c r="F49" s="322"/>
      <c r="G49" s="322"/>
      <c r="H49" s="322"/>
      <c r="I49" s="354"/>
      <c r="J49" s="354"/>
      <c r="K49" s="46">
        <f>C49*E49</f>
        <v>18.489999999999998</v>
      </c>
      <c r="L49" s="354"/>
      <c r="M49" s="355"/>
      <c r="N49" s="356"/>
      <c r="O49" s="356"/>
      <c r="P49" s="356"/>
      <c r="Q49" s="357"/>
      <c r="R49" s="1"/>
    </row>
    <row r="50" spans="2:18" ht="14.4" x14ac:dyDescent="0.25">
      <c r="B50" s="274" t="s">
        <v>229</v>
      </c>
      <c r="C50" s="73">
        <v>1.5</v>
      </c>
      <c r="D50" s="131">
        <v>7</v>
      </c>
      <c r="E50" s="33">
        <v>1</v>
      </c>
      <c r="F50" s="131"/>
      <c r="G50" s="131"/>
      <c r="H50" s="131"/>
      <c r="I50" s="46"/>
      <c r="J50" s="46"/>
      <c r="K50" s="46"/>
      <c r="L50" s="46"/>
      <c r="M50" s="136"/>
      <c r="N50" s="63"/>
      <c r="O50" s="63"/>
      <c r="P50" s="63"/>
      <c r="Q50" s="78"/>
      <c r="R50" s="1"/>
    </row>
    <row r="51" spans="2:18" ht="14.4" x14ac:dyDescent="0.25">
      <c r="B51" s="157" t="s">
        <v>168</v>
      </c>
      <c r="C51" s="73">
        <v>9.8000000000000007</v>
      </c>
      <c r="D51" s="131">
        <v>13.89</v>
      </c>
      <c r="E51" s="33">
        <v>1</v>
      </c>
      <c r="F51" s="131"/>
      <c r="G51" s="131"/>
      <c r="H51" s="131"/>
      <c r="I51" s="46">
        <f>C51*E51</f>
        <v>9.8000000000000007</v>
      </c>
      <c r="J51" s="46"/>
      <c r="K51" s="46"/>
      <c r="L51" s="46"/>
      <c r="M51" s="136"/>
      <c r="N51" s="63"/>
      <c r="O51" s="63"/>
      <c r="P51" s="63">
        <f t="shared" ref="P51" si="34">D51*E51</f>
        <v>13.89</v>
      </c>
      <c r="Q51" s="78">
        <f>D51*E51</f>
        <v>13.89</v>
      </c>
      <c r="R51" s="1"/>
    </row>
    <row r="52" spans="2:18" ht="14.4" x14ac:dyDescent="0.25">
      <c r="B52" s="157" t="s">
        <v>168</v>
      </c>
      <c r="C52" s="73">
        <v>4.6900000000000004</v>
      </c>
      <c r="D52" s="131">
        <v>10</v>
      </c>
      <c r="E52" s="33">
        <v>1</v>
      </c>
      <c r="F52" s="131"/>
      <c r="G52" s="131"/>
      <c r="H52" s="131"/>
      <c r="I52" s="46"/>
      <c r="J52" s="46"/>
      <c r="K52" s="46">
        <f>C52*E52</f>
        <v>4.6900000000000004</v>
      </c>
      <c r="L52" s="46"/>
      <c r="M52" s="136"/>
      <c r="N52" s="63"/>
      <c r="O52" s="63"/>
      <c r="P52" s="63"/>
      <c r="Q52" s="78"/>
      <c r="R52" s="1"/>
    </row>
    <row r="53" spans="2:18" ht="14.4" x14ac:dyDescent="0.25">
      <c r="B53" s="157" t="s">
        <v>158</v>
      </c>
      <c r="C53" s="73">
        <v>2.4</v>
      </c>
      <c r="D53" s="131">
        <v>6.4</v>
      </c>
      <c r="E53" s="33">
        <v>1</v>
      </c>
      <c r="F53" s="131"/>
      <c r="G53" s="131"/>
      <c r="H53" s="131"/>
      <c r="I53" s="46"/>
      <c r="J53" s="46">
        <f>C53*E53</f>
        <v>2.4</v>
      </c>
      <c r="K53" s="46"/>
      <c r="L53" s="46"/>
      <c r="M53" s="136"/>
      <c r="N53" s="63"/>
      <c r="O53" s="63"/>
      <c r="P53" s="63">
        <f t="shared" ref="P53" si="35">D53*E53</f>
        <v>6.4</v>
      </c>
      <c r="Q53" s="78">
        <f>D53*E53</f>
        <v>6.4</v>
      </c>
      <c r="R53" s="1"/>
    </row>
    <row r="54" spans="2:18" ht="14.4" x14ac:dyDescent="0.25">
      <c r="B54" s="317" t="s">
        <v>346</v>
      </c>
      <c r="C54" s="222">
        <v>24.28</v>
      </c>
      <c r="D54" s="131">
        <v>30.37</v>
      </c>
      <c r="E54" s="33">
        <v>1</v>
      </c>
      <c r="F54" s="131"/>
      <c r="G54" s="131"/>
      <c r="H54" s="131"/>
      <c r="I54" s="46"/>
      <c r="J54" s="46"/>
      <c r="K54" s="46"/>
      <c r="L54" s="46"/>
      <c r="M54" s="136"/>
      <c r="N54" s="63"/>
      <c r="O54" s="63">
        <f>C54*E54</f>
        <v>24.28</v>
      </c>
      <c r="P54" s="63"/>
      <c r="Q54" s="78"/>
      <c r="R54" s="1"/>
    </row>
    <row r="55" spans="2:18" ht="14.4" x14ac:dyDescent="0.25">
      <c r="B55" s="262" t="s">
        <v>347</v>
      </c>
      <c r="C55" s="73">
        <v>6.78</v>
      </c>
      <c r="D55" s="131">
        <v>10.52</v>
      </c>
      <c r="E55" s="33">
        <v>1</v>
      </c>
      <c r="F55" s="131"/>
      <c r="G55" s="131"/>
      <c r="H55" s="131"/>
      <c r="I55" s="46">
        <f>C55*E55</f>
        <v>6.78</v>
      </c>
      <c r="J55" s="46"/>
      <c r="K55" s="46"/>
      <c r="L55" s="46"/>
      <c r="M55" s="136"/>
      <c r="N55" s="63"/>
      <c r="O55" s="63"/>
      <c r="P55" s="63">
        <f t="shared" ref="P55" si="36">D55*E55</f>
        <v>10.52</v>
      </c>
      <c r="Q55" s="78">
        <f>D55*E55</f>
        <v>10.52</v>
      </c>
      <c r="R55" s="1"/>
    </row>
    <row r="56" spans="2:18" ht="14.4" x14ac:dyDescent="0.25">
      <c r="B56" s="262" t="s">
        <v>158</v>
      </c>
      <c r="C56" s="73">
        <v>2.62</v>
      </c>
      <c r="D56" s="131">
        <v>6.5</v>
      </c>
      <c r="E56" s="33">
        <v>1</v>
      </c>
      <c r="F56" s="131"/>
      <c r="G56" s="131"/>
      <c r="H56" s="131"/>
      <c r="I56" s="46"/>
      <c r="J56" s="46">
        <f>C56*E56</f>
        <v>2.62</v>
      </c>
      <c r="K56" s="46"/>
      <c r="L56" s="46"/>
      <c r="M56" s="136"/>
      <c r="N56" s="63"/>
      <c r="O56" s="63"/>
      <c r="P56" s="63">
        <f t="shared" ref="P56:P59" si="37">D56*E56</f>
        <v>6.5</v>
      </c>
      <c r="Q56" s="78">
        <f>D56*E56</f>
        <v>6.5</v>
      </c>
      <c r="R56" s="1"/>
    </row>
    <row r="57" spans="2:18" ht="14.4" x14ac:dyDescent="0.25">
      <c r="B57" s="317" t="s">
        <v>348</v>
      </c>
      <c r="C57" s="222">
        <v>12.43</v>
      </c>
      <c r="D57" s="131">
        <v>15.04</v>
      </c>
      <c r="E57" s="33">
        <v>1</v>
      </c>
      <c r="F57" s="131"/>
      <c r="G57" s="131"/>
      <c r="H57" s="131"/>
      <c r="I57" s="46">
        <f>C57*E57</f>
        <v>12.43</v>
      </c>
      <c r="J57" s="46"/>
      <c r="K57" s="46"/>
      <c r="L57" s="46"/>
      <c r="M57" s="136"/>
      <c r="N57" s="63"/>
      <c r="O57" s="63"/>
      <c r="P57" s="63">
        <f t="shared" si="37"/>
        <v>15.04</v>
      </c>
      <c r="Q57" s="78">
        <f t="shared" ref="Q57:Q59" si="38">D57*E57</f>
        <v>15.04</v>
      </c>
      <c r="R57" s="1"/>
    </row>
    <row r="58" spans="2:18" ht="14.4" x14ac:dyDescent="0.25">
      <c r="B58" s="262" t="s">
        <v>185</v>
      </c>
      <c r="C58" s="73">
        <v>6.12</v>
      </c>
      <c r="D58" s="131">
        <f>10.12-2</f>
        <v>8.1199999999999992</v>
      </c>
      <c r="E58" s="33">
        <v>1</v>
      </c>
      <c r="F58" s="131"/>
      <c r="G58" s="131"/>
      <c r="H58" s="131"/>
      <c r="I58" s="46">
        <f>C58*E58</f>
        <v>6.12</v>
      </c>
      <c r="J58" s="46"/>
      <c r="K58" s="46"/>
      <c r="L58" s="46"/>
      <c r="M58" s="136"/>
      <c r="N58" s="63"/>
      <c r="O58" s="63"/>
      <c r="P58" s="63">
        <f t="shared" si="37"/>
        <v>8.1199999999999992</v>
      </c>
      <c r="Q58" s="78">
        <f t="shared" si="38"/>
        <v>8.1199999999999992</v>
      </c>
      <c r="R58" s="1"/>
    </row>
    <row r="59" spans="2:18" ht="14.4" x14ac:dyDescent="0.25">
      <c r="B59" s="317" t="s">
        <v>168</v>
      </c>
      <c r="C59" s="222">
        <v>18.46</v>
      </c>
      <c r="D59" s="131">
        <f>27.69-2</f>
        <v>25.69</v>
      </c>
      <c r="E59" s="33">
        <v>1</v>
      </c>
      <c r="F59" s="131"/>
      <c r="G59" s="131"/>
      <c r="H59" s="131"/>
      <c r="I59" s="46">
        <f>C59*E59</f>
        <v>18.46</v>
      </c>
      <c r="J59" s="46"/>
      <c r="K59" s="46"/>
      <c r="L59" s="46"/>
      <c r="M59" s="136"/>
      <c r="N59" s="63"/>
      <c r="O59" s="63"/>
      <c r="P59" s="63">
        <f t="shared" si="37"/>
        <v>25.69</v>
      </c>
      <c r="Q59" s="78">
        <f t="shared" si="38"/>
        <v>25.69</v>
      </c>
      <c r="R59" s="1"/>
    </row>
    <row r="60" spans="2:18" ht="14.4" x14ac:dyDescent="0.25">
      <c r="B60" s="262" t="s">
        <v>168</v>
      </c>
      <c r="C60" s="73">
        <v>7.09</v>
      </c>
      <c r="D60" s="131">
        <v>23.76</v>
      </c>
      <c r="E60" s="33">
        <v>1</v>
      </c>
      <c r="F60" s="131"/>
      <c r="G60" s="131"/>
      <c r="H60" s="131"/>
      <c r="I60" s="46"/>
      <c r="J60" s="46"/>
      <c r="K60" s="46"/>
      <c r="L60" s="46">
        <f>C60*E60</f>
        <v>7.09</v>
      </c>
      <c r="M60" s="136"/>
      <c r="N60" s="63"/>
      <c r="O60" s="63"/>
      <c r="P60" s="63"/>
      <c r="Q60" s="78"/>
      <c r="R60" s="1"/>
    </row>
    <row r="61" spans="2:18" ht="14.4" x14ac:dyDescent="0.25">
      <c r="B61" s="262" t="s">
        <v>349</v>
      </c>
      <c r="C61" s="73">
        <v>17.63</v>
      </c>
      <c r="D61" s="131">
        <v>17.940000000000001</v>
      </c>
      <c r="E61" s="33">
        <v>1</v>
      </c>
      <c r="F61" s="131"/>
      <c r="G61" s="131"/>
      <c r="H61" s="131"/>
      <c r="I61" s="46">
        <f t="shared" ref="I61:I69" si="39">C61*E61</f>
        <v>17.63</v>
      </c>
      <c r="J61" s="46"/>
      <c r="K61" s="46"/>
      <c r="L61" s="46"/>
      <c r="M61" s="136"/>
      <c r="N61" s="63"/>
      <c r="O61" s="63"/>
      <c r="P61" s="63">
        <f t="shared" ref="P61:P70" si="40">D61*E61</f>
        <v>17.940000000000001</v>
      </c>
      <c r="Q61" s="78">
        <f t="shared" ref="Q61:Q70" si="41">D61*E61</f>
        <v>17.940000000000001</v>
      </c>
      <c r="R61" s="1"/>
    </row>
    <row r="62" spans="2:18" ht="14.4" x14ac:dyDescent="0.25">
      <c r="B62" s="262" t="s">
        <v>350</v>
      </c>
      <c r="C62" s="73">
        <v>20.65</v>
      </c>
      <c r="D62" s="131">
        <v>18.239999999999998</v>
      </c>
      <c r="E62" s="33">
        <v>1</v>
      </c>
      <c r="F62" s="131"/>
      <c r="G62" s="131"/>
      <c r="H62" s="131"/>
      <c r="I62" s="46">
        <f t="shared" si="39"/>
        <v>20.65</v>
      </c>
      <c r="J62" s="46"/>
      <c r="K62" s="46"/>
      <c r="L62" s="46"/>
      <c r="M62" s="136"/>
      <c r="N62" s="63"/>
      <c r="O62" s="63"/>
      <c r="P62" s="63">
        <f t="shared" si="40"/>
        <v>18.239999999999998</v>
      </c>
      <c r="Q62" s="78">
        <f t="shared" si="41"/>
        <v>18.239999999999998</v>
      </c>
      <c r="R62" s="1"/>
    </row>
    <row r="63" spans="2:18" ht="14.4" x14ac:dyDescent="0.25">
      <c r="B63" s="317" t="s">
        <v>162</v>
      </c>
      <c r="C63" s="222">
        <v>24.98</v>
      </c>
      <c r="D63" s="131">
        <v>20.69</v>
      </c>
      <c r="E63" s="33">
        <v>1</v>
      </c>
      <c r="F63" s="131"/>
      <c r="G63" s="131"/>
      <c r="H63" s="131"/>
      <c r="I63" s="46">
        <f t="shared" si="39"/>
        <v>24.98</v>
      </c>
      <c r="J63" s="46"/>
      <c r="K63" s="46"/>
      <c r="L63" s="46"/>
      <c r="M63" s="136"/>
      <c r="N63" s="63"/>
      <c r="O63" s="63"/>
      <c r="P63" s="63">
        <f t="shared" si="40"/>
        <v>20.69</v>
      </c>
      <c r="Q63" s="78">
        <f t="shared" si="41"/>
        <v>20.69</v>
      </c>
      <c r="R63" s="1"/>
    </row>
    <row r="64" spans="2:18" ht="14.4" x14ac:dyDescent="0.25">
      <c r="B64" s="317" t="s">
        <v>351</v>
      </c>
      <c r="C64" s="222">
        <v>34.68</v>
      </c>
      <c r="D64" s="131">
        <v>26.79</v>
      </c>
      <c r="E64" s="33">
        <v>1</v>
      </c>
      <c r="F64" s="131"/>
      <c r="G64" s="131"/>
      <c r="H64" s="131"/>
      <c r="I64" s="46">
        <f t="shared" si="39"/>
        <v>34.68</v>
      </c>
      <c r="J64" s="46"/>
      <c r="K64" s="46"/>
      <c r="L64" s="46"/>
      <c r="M64" s="136"/>
      <c r="N64" s="63"/>
      <c r="O64" s="63"/>
      <c r="P64" s="63">
        <f t="shared" si="40"/>
        <v>26.79</v>
      </c>
      <c r="Q64" s="78">
        <f t="shared" si="41"/>
        <v>26.79</v>
      </c>
      <c r="R64" s="1"/>
    </row>
    <row r="65" spans="2:18" ht="14.4" x14ac:dyDescent="0.25">
      <c r="B65" s="262" t="s">
        <v>352</v>
      </c>
      <c r="C65" s="73">
        <v>5.53</v>
      </c>
      <c r="D65" s="131">
        <v>9.6199999999999992</v>
      </c>
      <c r="E65" s="33">
        <v>1</v>
      </c>
      <c r="F65" s="131"/>
      <c r="G65" s="131"/>
      <c r="H65" s="131"/>
      <c r="I65" s="46">
        <f t="shared" si="39"/>
        <v>5.53</v>
      </c>
      <c r="J65" s="46"/>
      <c r="K65" s="46"/>
      <c r="L65" s="46"/>
      <c r="M65" s="136"/>
      <c r="N65" s="63"/>
      <c r="O65" s="63"/>
      <c r="P65" s="63">
        <f t="shared" si="40"/>
        <v>9.6199999999999992</v>
      </c>
      <c r="Q65" s="78">
        <f t="shared" si="41"/>
        <v>9.6199999999999992</v>
      </c>
      <c r="R65" s="1"/>
    </row>
    <row r="66" spans="2:18" ht="28.8" x14ac:dyDescent="0.25">
      <c r="B66" s="319" t="s">
        <v>353</v>
      </c>
      <c r="C66" s="222">
        <v>12.22</v>
      </c>
      <c r="D66" s="131">
        <v>14.22</v>
      </c>
      <c r="E66" s="33">
        <v>1</v>
      </c>
      <c r="F66" s="131"/>
      <c r="G66" s="131"/>
      <c r="H66" s="131"/>
      <c r="I66" s="46">
        <f t="shared" si="39"/>
        <v>12.22</v>
      </c>
      <c r="J66" s="46"/>
      <c r="K66" s="46"/>
      <c r="L66" s="46"/>
      <c r="M66" s="136"/>
      <c r="N66" s="63"/>
      <c r="O66" s="63"/>
      <c r="P66" s="63">
        <f t="shared" si="40"/>
        <v>14.22</v>
      </c>
      <c r="Q66" s="78">
        <f t="shared" si="41"/>
        <v>14.22</v>
      </c>
      <c r="R66" s="1"/>
    </row>
    <row r="67" spans="2:18" ht="14.4" x14ac:dyDescent="0.25">
      <c r="B67" s="262" t="s">
        <v>158</v>
      </c>
      <c r="C67" s="73">
        <v>2.23</v>
      </c>
      <c r="D67" s="131">
        <v>6.08</v>
      </c>
      <c r="E67" s="33">
        <v>1</v>
      </c>
      <c r="F67" s="131"/>
      <c r="G67" s="131"/>
      <c r="H67" s="131"/>
      <c r="I67" s="46"/>
      <c r="J67" s="46">
        <f>C67*E67</f>
        <v>2.23</v>
      </c>
      <c r="K67" s="46"/>
      <c r="L67" s="46"/>
      <c r="M67" s="136"/>
      <c r="N67" s="63"/>
      <c r="O67" s="63"/>
      <c r="P67" s="63">
        <f t="shared" si="40"/>
        <v>6.08</v>
      </c>
      <c r="Q67" s="78">
        <f t="shared" si="41"/>
        <v>6.08</v>
      </c>
      <c r="R67" s="1"/>
    </row>
    <row r="68" spans="2:18" ht="14.4" x14ac:dyDescent="0.25">
      <c r="B68" s="317" t="s">
        <v>168</v>
      </c>
      <c r="C68" s="222">
        <v>7.75</v>
      </c>
      <c r="D68" s="131">
        <f>13.81-1.41</f>
        <v>12.4</v>
      </c>
      <c r="E68" s="33">
        <v>1</v>
      </c>
      <c r="F68" s="131"/>
      <c r="G68" s="131"/>
      <c r="H68" s="131"/>
      <c r="I68" s="46">
        <f t="shared" si="39"/>
        <v>7.75</v>
      </c>
      <c r="J68" s="46"/>
      <c r="K68" s="46"/>
      <c r="L68" s="46"/>
      <c r="M68" s="136"/>
      <c r="N68" s="63"/>
      <c r="O68" s="63"/>
      <c r="P68" s="63">
        <f t="shared" si="40"/>
        <v>12.4</v>
      </c>
      <c r="Q68" s="78">
        <f t="shared" si="41"/>
        <v>12.4</v>
      </c>
      <c r="R68" s="1"/>
    </row>
    <row r="69" spans="2:18" ht="14.4" x14ac:dyDescent="0.25">
      <c r="B69" s="317" t="s">
        <v>244</v>
      </c>
      <c r="C69" s="222">
        <v>13.98</v>
      </c>
      <c r="D69" s="131">
        <v>16.48</v>
      </c>
      <c r="E69" s="33">
        <v>1</v>
      </c>
      <c r="F69" s="131"/>
      <c r="G69" s="131"/>
      <c r="H69" s="131"/>
      <c r="I69" s="46">
        <f t="shared" si="39"/>
        <v>13.98</v>
      </c>
      <c r="J69" s="46"/>
      <c r="K69" s="46"/>
      <c r="L69" s="46"/>
      <c r="M69" s="136"/>
      <c r="N69" s="63"/>
      <c r="O69" s="63"/>
      <c r="P69" s="63">
        <f t="shared" si="40"/>
        <v>16.48</v>
      </c>
      <c r="Q69" s="78">
        <f t="shared" si="41"/>
        <v>16.48</v>
      </c>
      <c r="R69" s="1"/>
    </row>
    <row r="70" spans="2:18" ht="14.4" x14ac:dyDescent="0.25">
      <c r="B70" s="262" t="s">
        <v>303</v>
      </c>
      <c r="C70" s="73">
        <v>2.14</v>
      </c>
      <c r="D70" s="131">
        <v>5.98</v>
      </c>
      <c r="E70" s="33">
        <v>2</v>
      </c>
      <c r="F70" s="131"/>
      <c r="G70" s="131"/>
      <c r="H70" s="131"/>
      <c r="I70" s="46"/>
      <c r="J70" s="46">
        <f>C70*E70</f>
        <v>4.28</v>
      </c>
      <c r="K70" s="46"/>
      <c r="L70" s="46"/>
      <c r="M70" s="136"/>
      <c r="N70" s="63"/>
      <c r="O70" s="63"/>
      <c r="P70" s="63">
        <f t="shared" si="40"/>
        <v>11.96</v>
      </c>
      <c r="Q70" s="78">
        <f t="shared" si="41"/>
        <v>11.96</v>
      </c>
      <c r="R70" s="1"/>
    </row>
    <row r="71" spans="2:18" ht="14.4" x14ac:dyDescent="0.25">
      <c r="B71" s="262" t="s">
        <v>177</v>
      </c>
      <c r="C71" s="73">
        <v>4.3</v>
      </c>
      <c r="D71" s="131">
        <v>8.4600000000000009</v>
      </c>
      <c r="E71" s="33">
        <v>1</v>
      </c>
      <c r="F71" s="131"/>
      <c r="G71" s="131"/>
      <c r="H71" s="131"/>
      <c r="I71" s="46"/>
      <c r="J71" s="46"/>
      <c r="K71" s="46"/>
      <c r="L71" s="46"/>
      <c r="M71" s="136"/>
      <c r="N71" s="63"/>
      <c r="O71" s="63">
        <f t="shared" ref="O71:O80" si="42">C71*E71</f>
        <v>4.3</v>
      </c>
      <c r="P71" s="63"/>
      <c r="Q71" s="78"/>
      <c r="R71" s="1"/>
    </row>
    <row r="72" spans="2:18" ht="14.4" x14ac:dyDescent="0.25">
      <c r="B72" s="262" t="s">
        <v>354</v>
      </c>
      <c r="C72" s="73">
        <v>11.76</v>
      </c>
      <c r="D72" s="131">
        <v>13.75</v>
      </c>
      <c r="E72" s="33">
        <v>1</v>
      </c>
      <c r="F72" s="131"/>
      <c r="G72" s="131"/>
      <c r="H72" s="131"/>
      <c r="I72" s="46"/>
      <c r="J72" s="46"/>
      <c r="K72" s="46"/>
      <c r="L72" s="46"/>
      <c r="M72" s="136"/>
      <c r="N72" s="63"/>
      <c r="O72" s="63">
        <f t="shared" si="42"/>
        <v>11.76</v>
      </c>
      <c r="P72" s="63"/>
      <c r="Q72" s="78"/>
      <c r="R72" s="1"/>
    </row>
    <row r="73" spans="2:18" ht="14.4" x14ac:dyDescent="0.25">
      <c r="B73" s="262" t="s">
        <v>355</v>
      </c>
      <c r="C73" s="73">
        <v>12.76</v>
      </c>
      <c r="D73" s="131">
        <v>14.38</v>
      </c>
      <c r="E73" s="33">
        <v>1</v>
      </c>
      <c r="F73" s="131"/>
      <c r="G73" s="131"/>
      <c r="H73" s="131"/>
      <c r="I73" s="46"/>
      <c r="J73" s="46"/>
      <c r="K73" s="46"/>
      <c r="L73" s="46"/>
      <c r="M73" s="136"/>
      <c r="N73" s="63"/>
      <c r="O73" s="63">
        <f t="shared" si="42"/>
        <v>12.76</v>
      </c>
      <c r="P73" s="63"/>
      <c r="Q73" s="78"/>
      <c r="R73" s="1"/>
    </row>
    <row r="74" spans="2:18" ht="14.4" x14ac:dyDescent="0.25">
      <c r="B74" s="262" t="s">
        <v>158</v>
      </c>
      <c r="C74" s="73">
        <v>2.8</v>
      </c>
      <c r="D74" s="131">
        <v>6.8</v>
      </c>
      <c r="E74" s="33">
        <v>1</v>
      </c>
      <c r="F74" s="131"/>
      <c r="G74" s="131"/>
      <c r="H74" s="131"/>
      <c r="I74" s="46"/>
      <c r="J74" s="46"/>
      <c r="K74" s="46"/>
      <c r="L74" s="46"/>
      <c r="M74" s="136"/>
      <c r="N74" s="63"/>
      <c r="O74" s="63">
        <f t="shared" si="42"/>
        <v>2.8</v>
      </c>
      <c r="P74" s="63"/>
      <c r="Q74" s="78"/>
      <c r="R74" s="1"/>
    </row>
    <row r="75" spans="2:18" ht="14.4" x14ac:dyDescent="0.25">
      <c r="B75" s="317" t="s">
        <v>611</v>
      </c>
      <c r="C75" s="222">
        <v>50.63</v>
      </c>
      <c r="D75" s="131">
        <f>31.8-1.8</f>
        <v>30</v>
      </c>
      <c r="E75" s="33">
        <v>1</v>
      </c>
      <c r="F75" s="131"/>
      <c r="G75" s="131"/>
      <c r="H75" s="131"/>
      <c r="I75" s="46"/>
      <c r="J75" s="46"/>
      <c r="K75" s="46"/>
      <c r="L75" s="46"/>
      <c r="M75" s="136"/>
      <c r="N75" s="63"/>
      <c r="O75" s="63">
        <f t="shared" si="42"/>
        <v>50.63</v>
      </c>
      <c r="P75" s="63"/>
      <c r="Q75" s="78"/>
      <c r="R75" s="1"/>
    </row>
    <row r="76" spans="2:18" ht="14.4" x14ac:dyDescent="0.25">
      <c r="B76" s="262" t="s">
        <v>356</v>
      </c>
      <c r="C76" s="73">
        <v>4.84</v>
      </c>
      <c r="D76" s="131">
        <v>8.9700000000000006</v>
      </c>
      <c r="E76" s="33">
        <v>1</v>
      </c>
      <c r="F76" s="131"/>
      <c r="G76" s="131"/>
      <c r="H76" s="131"/>
      <c r="I76" s="46"/>
      <c r="J76" s="46"/>
      <c r="K76" s="46"/>
      <c r="L76" s="46"/>
      <c r="M76" s="136"/>
      <c r="N76" s="63"/>
      <c r="O76" s="63">
        <f t="shared" si="42"/>
        <v>4.84</v>
      </c>
      <c r="P76" s="63"/>
      <c r="Q76" s="78"/>
      <c r="R76" s="1"/>
    </row>
    <row r="77" spans="2:18" ht="14.4" x14ac:dyDescent="0.25">
      <c r="B77" s="262" t="s">
        <v>357</v>
      </c>
      <c r="C77" s="73">
        <v>4.84</v>
      </c>
      <c r="D77" s="131">
        <v>8.9700000000000006</v>
      </c>
      <c r="E77" s="33">
        <v>1</v>
      </c>
      <c r="F77" s="131"/>
      <c r="G77" s="131"/>
      <c r="H77" s="131"/>
      <c r="I77" s="46"/>
      <c r="J77" s="46"/>
      <c r="K77" s="46"/>
      <c r="L77" s="46"/>
      <c r="M77" s="136"/>
      <c r="N77" s="63"/>
      <c r="O77" s="63">
        <f t="shared" si="42"/>
        <v>4.84</v>
      </c>
      <c r="P77" s="63"/>
      <c r="Q77" s="78"/>
      <c r="R77" s="1"/>
    </row>
    <row r="78" spans="2:18" ht="14.4" x14ac:dyDescent="0.25">
      <c r="B78" s="262" t="s">
        <v>358</v>
      </c>
      <c r="C78" s="73">
        <v>3.76</v>
      </c>
      <c r="D78" s="131">
        <v>8.17</v>
      </c>
      <c r="E78" s="33">
        <v>1</v>
      </c>
      <c r="F78" s="131"/>
      <c r="G78" s="131"/>
      <c r="H78" s="131"/>
      <c r="I78" s="46"/>
      <c r="J78" s="46"/>
      <c r="K78" s="46"/>
      <c r="L78" s="46"/>
      <c r="M78" s="136"/>
      <c r="N78" s="63"/>
      <c r="O78" s="63">
        <f t="shared" si="42"/>
        <v>3.76</v>
      </c>
      <c r="P78" s="63"/>
      <c r="Q78" s="78"/>
      <c r="R78" s="1"/>
    </row>
    <row r="79" spans="2:18" ht="14.4" x14ac:dyDescent="0.25">
      <c r="B79" s="262" t="s">
        <v>359</v>
      </c>
      <c r="C79" s="73">
        <v>2.62</v>
      </c>
      <c r="D79" s="131">
        <f>6.59</f>
        <v>6.59</v>
      </c>
      <c r="E79" s="33">
        <v>1</v>
      </c>
      <c r="F79" s="131"/>
      <c r="G79" s="131"/>
      <c r="H79" s="131"/>
      <c r="I79" s="46"/>
      <c r="J79" s="46"/>
      <c r="K79" s="46"/>
      <c r="L79" s="46"/>
      <c r="M79" s="136"/>
      <c r="N79" s="63"/>
      <c r="O79" s="63">
        <f t="shared" si="42"/>
        <v>2.62</v>
      </c>
      <c r="P79" s="63"/>
      <c r="Q79" s="78"/>
      <c r="R79" s="1"/>
    </row>
    <row r="80" spans="2:18" ht="14.4" x14ac:dyDescent="0.25">
      <c r="B80" s="262" t="s">
        <v>360</v>
      </c>
      <c r="C80" s="73">
        <v>2.41</v>
      </c>
      <c r="D80" s="131">
        <v>6.28</v>
      </c>
      <c r="E80" s="33">
        <v>1</v>
      </c>
      <c r="F80" s="131"/>
      <c r="G80" s="131"/>
      <c r="H80" s="131"/>
      <c r="I80" s="46"/>
      <c r="J80" s="46"/>
      <c r="K80" s="46"/>
      <c r="L80" s="46"/>
      <c r="M80" s="136"/>
      <c r="N80" s="63"/>
      <c r="O80" s="63">
        <f t="shared" si="42"/>
        <v>2.41</v>
      </c>
      <c r="P80" s="63"/>
      <c r="Q80" s="78"/>
      <c r="R80" s="1"/>
    </row>
    <row r="81" spans="1:18" ht="14.4" x14ac:dyDescent="0.25">
      <c r="B81" s="317" t="s">
        <v>361</v>
      </c>
      <c r="C81" s="222">
        <v>32.42</v>
      </c>
      <c r="D81" s="131">
        <f>28.38-1.41</f>
        <v>26.97</v>
      </c>
      <c r="E81" s="33">
        <v>1</v>
      </c>
      <c r="F81" s="131"/>
      <c r="G81" s="131"/>
      <c r="H81" s="131"/>
      <c r="I81" s="46">
        <f>C81*E81</f>
        <v>32.42</v>
      </c>
      <c r="J81" s="46"/>
      <c r="K81" s="46"/>
      <c r="L81" s="46"/>
      <c r="M81" s="136"/>
      <c r="N81" s="63"/>
      <c r="O81" s="63"/>
      <c r="P81" s="63">
        <f t="shared" ref="P81:P83" si="43">D81*E81</f>
        <v>26.97</v>
      </c>
      <c r="Q81" s="78">
        <f t="shared" ref="Q81:Q83" si="44">D81*E81</f>
        <v>26.97</v>
      </c>
      <c r="R81" s="1"/>
    </row>
    <row r="82" spans="1:18" ht="14.4" x14ac:dyDescent="0.25">
      <c r="B82" s="262" t="s">
        <v>362</v>
      </c>
      <c r="C82" s="73">
        <v>42.54</v>
      </c>
      <c r="D82" s="131">
        <v>29.38</v>
      </c>
      <c r="E82" s="33">
        <v>1</v>
      </c>
      <c r="F82" s="131"/>
      <c r="G82" s="131"/>
      <c r="H82" s="131"/>
      <c r="I82" s="46">
        <f>C82*E82</f>
        <v>42.54</v>
      </c>
      <c r="J82" s="46"/>
      <c r="K82" s="46"/>
      <c r="L82" s="46"/>
      <c r="M82" s="136"/>
      <c r="N82" s="63"/>
      <c r="O82" s="63"/>
      <c r="P82" s="63">
        <f t="shared" si="43"/>
        <v>29.38</v>
      </c>
      <c r="Q82" s="78">
        <f t="shared" si="44"/>
        <v>29.38</v>
      </c>
      <c r="R82" s="1"/>
    </row>
    <row r="83" spans="1:18" ht="14.4" x14ac:dyDescent="0.25">
      <c r="B83" s="317" t="s">
        <v>363</v>
      </c>
      <c r="C83" s="222">
        <v>4.59</v>
      </c>
      <c r="D83" s="131">
        <v>8.1999999999999993</v>
      </c>
      <c r="E83" s="33">
        <v>1</v>
      </c>
      <c r="F83" s="131"/>
      <c r="G83" s="131"/>
      <c r="H83" s="131"/>
      <c r="I83" s="46">
        <f>C83*E83</f>
        <v>4.59</v>
      </c>
      <c r="J83" s="46"/>
      <c r="K83" s="46"/>
      <c r="L83" s="46"/>
      <c r="M83" s="136"/>
      <c r="N83" s="63"/>
      <c r="O83" s="63"/>
      <c r="P83" s="63">
        <f t="shared" si="43"/>
        <v>8.1999999999999993</v>
      </c>
      <c r="Q83" s="73">
        <f t="shared" si="44"/>
        <v>8.1999999999999993</v>
      </c>
      <c r="R83" s="1"/>
    </row>
    <row r="84" spans="1:18" ht="14.4" x14ac:dyDescent="0.25">
      <c r="B84" s="262" t="s">
        <v>366</v>
      </c>
      <c r="C84" s="73">
        <v>2.4</v>
      </c>
      <c r="D84" s="131">
        <v>6.4</v>
      </c>
      <c r="E84" s="33">
        <v>2</v>
      </c>
      <c r="F84" s="131"/>
      <c r="G84" s="131"/>
      <c r="H84" s="131"/>
      <c r="I84" s="46"/>
      <c r="J84" s="46">
        <f>C84*E84</f>
        <v>4.8</v>
      </c>
      <c r="K84" s="46"/>
      <c r="L84" s="46"/>
      <c r="M84" s="136"/>
      <c r="N84" s="63"/>
      <c r="O84" s="63"/>
      <c r="P84" s="63">
        <f t="shared" ref="P84:P85" si="45">D84*E84</f>
        <v>12.8</v>
      </c>
      <c r="Q84" s="73">
        <f t="shared" ref="Q84:Q85" si="46">D84*E84</f>
        <v>12.8</v>
      </c>
      <c r="R84" s="1"/>
    </row>
    <row r="85" spans="1:18" ht="14.4" x14ac:dyDescent="0.25">
      <c r="B85" s="262" t="s">
        <v>258</v>
      </c>
      <c r="C85" s="73">
        <v>4.58</v>
      </c>
      <c r="D85" s="131">
        <v>8.58</v>
      </c>
      <c r="E85" s="33">
        <v>1</v>
      </c>
      <c r="F85" s="131"/>
      <c r="G85" s="131"/>
      <c r="H85" s="131"/>
      <c r="I85" s="46">
        <f>C85*E85</f>
        <v>4.58</v>
      </c>
      <c r="J85" s="46"/>
      <c r="K85" s="46"/>
      <c r="L85" s="46"/>
      <c r="M85" s="136"/>
      <c r="N85" s="63"/>
      <c r="O85" s="63"/>
      <c r="P85" s="63">
        <f t="shared" si="45"/>
        <v>8.58</v>
      </c>
      <c r="Q85" s="78">
        <f t="shared" si="46"/>
        <v>8.58</v>
      </c>
      <c r="R85" s="1"/>
    </row>
    <row r="86" spans="1:18" ht="14.4" x14ac:dyDescent="0.25">
      <c r="B86" s="262" t="s">
        <v>364</v>
      </c>
      <c r="C86" s="73">
        <v>2.99</v>
      </c>
      <c r="D86" s="131">
        <v>6.78</v>
      </c>
      <c r="E86" s="33">
        <v>1</v>
      </c>
      <c r="F86" s="131"/>
      <c r="G86" s="131"/>
      <c r="H86" s="131"/>
      <c r="I86" s="46"/>
      <c r="J86" s="46">
        <f>C86*E86</f>
        <v>2.99</v>
      </c>
      <c r="K86" s="46"/>
      <c r="L86" s="46"/>
      <c r="M86" s="136"/>
      <c r="N86" s="63"/>
      <c r="O86" s="63"/>
      <c r="P86" s="63">
        <f t="shared" ref="P86" si="47">D86*E86</f>
        <v>6.78</v>
      </c>
      <c r="Q86" s="78">
        <f t="shared" ref="Q86" si="48">D86*E86</f>
        <v>6.78</v>
      </c>
      <c r="R86" s="1"/>
    </row>
    <row r="87" spans="1:18" ht="14.4" x14ac:dyDescent="0.25">
      <c r="B87" s="262" t="s">
        <v>365</v>
      </c>
      <c r="C87" s="73">
        <v>21.06</v>
      </c>
      <c r="D87" s="131">
        <v>18.57</v>
      </c>
      <c r="E87" s="33">
        <v>1</v>
      </c>
      <c r="F87" s="131"/>
      <c r="G87" s="131"/>
      <c r="H87" s="131"/>
      <c r="I87" s="46">
        <f>C87*E87</f>
        <v>21.06</v>
      </c>
      <c r="J87" s="46"/>
      <c r="K87" s="46"/>
      <c r="L87" s="46"/>
      <c r="M87" s="136"/>
      <c r="N87" s="63"/>
      <c r="O87" s="63"/>
      <c r="P87" s="63">
        <f t="shared" ref="P87" si="49">D87*E87</f>
        <v>18.57</v>
      </c>
      <c r="Q87" s="78">
        <f t="shared" ref="Q87" si="50">D87*E87</f>
        <v>18.57</v>
      </c>
      <c r="R87" s="1"/>
    </row>
    <row r="88" spans="1:18" ht="14.4" x14ac:dyDescent="0.25">
      <c r="B88" s="262" t="s">
        <v>164</v>
      </c>
      <c r="C88" s="73">
        <v>24.95</v>
      </c>
      <c r="D88" s="131">
        <v>24.71</v>
      </c>
      <c r="E88" s="33">
        <v>1</v>
      </c>
      <c r="F88" s="131"/>
      <c r="G88" s="131"/>
      <c r="H88" s="131"/>
      <c r="I88" s="46">
        <f>C88*E88</f>
        <v>24.95</v>
      </c>
      <c r="J88" s="46"/>
      <c r="K88" s="46"/>
      <c r="L88" s="46"/>
      <c r="M88" s="136"/>
      <c r="N88" s="63"/>
      <c r="O88" s="63"/>
      <c r="P88" s="63">
        <f t="shared" ref="P88" si="51">D88*E88</f>
        <v>24.71</v>
      </c>
      <c r="Q88" s="78">
        <f t="shared" ref="Q88" si="52">D88*E88</f>
        <v>24.71</v>
      </c>
      <c r="R88" s="1"/>
    </row>
    <row r="89" spans="1:18" ht="20.100000000000001" customHeight="1" x14ac:dyDescent="0.25">
      <c r="B89" s="134" t="s">
        <v>22</v>
      </c>
      <c r="C89" s="127">
        <f>SUM(C12:C88)</f>
        <v>1518.2</v>
      </c>
      <c r="D89" s="127"/>
      <c r="E89" s="127"/>
      <c r="F89" s="127"/>
      <c r="G89" s="127">
        <f t="shared" ref="G89:Q89" si="53">SUM(G12:G88)</f>
        <v>0</v>
      </c>
      <c r="H89" s="127">
        <f t="shared" si="53"/>
        <v>0</v>
      </c>
      <c r="I89" s="127">
        <f t="shared" si="53"/>
        <v>799.38999999999987</v>
      </c>
      <c r="J89" s="127">
        <f t="shared" si="53"/>
        <v>63.919999999999987</v>
      </c>
      <c r="K89" s="127">
        <f t="shared" si="53"/>
        <v>132.9</v>
      </c>
      <c r="L89" s="127">
        <f t="shared" si="53"/>
        <v>55.8</v>
      </c>
      <c r="M89" s="127">
        <f t="shared" si="53"/>
        <v>0</v>
      </c>
      <c r="N89" s="127">
        <f t="shared" si="53"/>
        <v>0</v>
      </c>
      <c r="O89" s="127">
        <f t="shared" si="53"/>
        <v>129.16000000000003</v>
      </c>
      <c r="P89" s="127">
        <f t="shared" si="53"/>
        <v>879.07000000000039</v>
      </c>
      <c r="Q89" s="127">
        <f t="shared" si="53"/>
        <v>879.07000000000039</v>
      </c>
      <c r="R89" s="1"/>
    </row>
    <row r="90" spans="1:18" ht="20.100000000000001" customHeight="1" x14ac:dyDescent="0.25">
      <c r="B90" s="271"/>
      <c r="C90" s="272"/>
      <c r="D90" s="272"/>
      <c r="E90" s="127"/>
      <c r="F90" s="127"/>
      <c r="G90" s="127"/>
      <c r="H90" s="127"/>
      <c r="I90" s="258">
        <v>1</v>
      </c>
      <c r="J90" s="258">
        <v>2</v>
      </c>
      <c r="K90" s="224">
        <v>3</v>
      </c>
      <c r="L90" s="224">
        <v>4</v>
      </c>
      <c r="M90" s="224">
        <v>6</v>
      </c>
      <c r="N90" s="224">
        <v>7</v>
      </c>
      <c r="O90" s="224">
        <v>5</v>
      </c>
      <c r="P90" s="218" t="s">
        <v>194</v>
      </c>
      <c r="Q90" s="255"/>
      <c r="R90" s="1"/>
    </row>
    <row r="91" spans="1:18" ht="40.049999999999997" customHeight="1" x14ac:dyDescent="0.25">
      <c r="B91" s="852" t="s">
        <v>16</v>
      </c>
      <c r="C91" s="838" t="s">
        <v>17</v>
      </c>
      <c r="D91" s="838" t="s">
        <v>18</v>
      </c>
      <c r="E91" s="838" t="s">
        <v>19</v>
      </c>
      <c r="F91" s="842" t="s">
        <v>13</v>
      </c>
      <c r="G91" s="842" t="s">
        <v>24</v>
      </c>
      <c r="H91" s="842" t="s">
        <v>25</v>
      </c>
      <c r="I91" s="842" t="s">
        <v>82</v>
      </c>
      <c r="J91" s="842" t="s">
        <v>83</v>
      </c>
      <c r="K91" s="838" t="s">
        <v>84</v>
      </c>
      <c r="L91" s="838" t="s">
        <v>85</v>
      </c>
      <c r="M91" s="838" t="s">
        <v>86</v>
      </c>
      <c r="N91" s="848" t="s">
        <v>87</v>
      </c>
      <c r="O91" s="848" t="s">
        <v>88</v>
      </c>
      <c r="P91" s="848" t="s">
        <v>193</v>
      </c>
      <c r="Q91" s="848" t="s">
        <v>192</v>
      </c>
    </row>
    <row r="92" spans="1:18" ht="40.049999999999997" customHeight="1" x14ac:dyDescent="0.25">
      <c r="B92" s="843"/>
      <c r="C92" s="839"/>
      <c r="D92" s="839"/>
      <c r="E92" s="839"/>
      <c r="F92" s="842"/>
      <c r="G92" s="839"/>
      <c r="H92" s="839"/>
      <c r="I92" s="839"/>
      <c r="J92" s="839"/>
      <c r="K92" s="839"/>
      <c r="L92" s="839"/>
      <c r="M92" s="839"/>
      <c r="N92" s="849"/>
      <c r="O92" s="849"/>
      <c r="P92" s="849"/>
      <c r="Q92" s="849"/>
    </row>
    <row r="93" spans="1:18" ht="15.6" x14ac:dyDescent="0.25">
      <c r="A93" s="141" t="s">
        <v>89</v>
      </c>
      <c r="B93" s="59" t="s">
        <v>58</v>
      </c>
      <c r="C93" s="60"/>
      <c r="D93" s="60"/>
      <c r="E93" s="60"/>
      <c r="F93" s="60"/>
      <c r="G93" s="60"/>
      <c r="H93" s="60"/>
      <c r="I93" s="58"/>
      <c r="J93" s="58"/>
      <c r="K93" s="58"/>
      <c r="L93" s="58"/>
      <c r="M93" s="57"/>
      <c r="N93" s="61"/>
      <c r="O93" s="61"/>
      <c r="P93" s="61"/>
      <c r="Q93" s="61"/>
      <c r="R93" s="1"/>
    </row>
    <row r="94" spans="1:18" ht="14.4" x14ac:dyDescent="0.25">
      <c r="A94" s="141"/>
      <c r="B94" s="157" t="s">
        <v>168</v>
      </c>
      <c r="C94" s="186">
        <v>11.68</v>
      </c>
      <c r="D94" s="576">
        <v>14.83</v>
      </c>
      <c r="E94" s="33">
        <v>1</v>
      </c>
      <c r="F94" s="574"/>
      <c r="G94" s="574"/>
      <c r="H94" s="574"/>
      <c r="I94" s="580"/>
      <c r="J94" s="580"/>
      <c r="K94" s="528">
        <f>C94*E94</f>
        <v>11.68</v>
      </c>
      <c r="L94" s="580"/>
      <c r="M94" s="581"/>
      <c r="N94" s="582"/>
      <c r="O94" s="582"/>
      <c r="P94" s="582"/>
      <c r="Q94" s="582"/>
    </row>
    <row r="95" spans="1:18" ht="14.4" x14ac:dyDescent="0.25">
      <c r="A95" s="141"/>
      <c r="B95" s="220" t="s">
        <v>258</v>
      </c>
      <c r="C95" s="579">
        <v>41.2</v>
      </c>
      <c r="D95" s="576">
        <v>35.83</v>
      </c>
      <c r="E95" s="33">
        <v>1</v>
      </c>
      <c r="F95" s="574"/>
      <c r="G95" s="574"/>
      <c r="H95" s="574"/>
      <c r="I95" s="580"/>
      <c r="J95" s="580"/>
      <c r="K95" s="528">
        <f>C95*E95</f>
        <v>41.2</v>
      </c>
      <c r="L95" s="580"/>
      <c r="M95" s="581"/>
      <c r="N95" s="582"/>
      <c r="O95" s="582"/>
      <c r="P95" s="582"/>
      <c r="Q95" s="582"/>
    </row>
    <row r="96" spans="1:18" ht="14.4" x14ac:dyDescent="0.25">
      <c r="A96" s="141"/>
      <c r="B96" s="220" t="s">
        <v>168</v>
      </c>
      <c r="C96" s="579">
        <f>68.71-2.11</f>
        <v>66.599999999999994</v>
      </c>
      <c r="D96" s="576">
        <v>47.12</v>
      </c>
      <c r="E96" s="33">
        <v>1</v>
      </c>
      <c r="F96" s="575"/>
      <c r="G96" s="574"/>
      <c r="H96" s="574"/>
      <c r="I96" s="580"/>
      <c r="J96" s="580"/>
      <c r="K96" s="580"/>
      <c r="L96" s="580"/>
      <c r="M96" s="584">
        <f>C96*E96</f>
        <v>66.599999999999994</v>
      </c>
      <c r="N96" s="582"/>
      <c r="O96" s="582"/>
      <c r="P96" s="582"/>
      <c r="Q96" s="582"/>
    </row>
    <row r="97" spans="1:17" ht="14.4" x14ac:dyDescent="0.25">
      <c r="A97" s="141"/>
      <c r="B97" s="220" t="s">
        <v>168</v>
      </c>
      <c r="C97" s="579">
        <v>63.09</v>
      </c>
      <c r="D97" s="576">
        <v>52.88</v>
      </c>
      <c r="E97" s="33">
        <v>1</v>
      </c>
      <c r="F97" s="574"/>
      <c r="G97" s="574"/>
      <c r="H97" s="574"/>
      <c r="I97" s="580"/>
      <c r="J97" s="580"/>
      <c r="K97" s="580"/>
      <c r="L97" s="580"/>
      <c r="M97" s="583">
        <f>C97*E97</f>
        <v>63.09</v>
      </c>
      <c r="N97" s="582"/>
      <c r="O97" s="582"/>
      <c r="P97" s="582"/>
      <c r="Q97" s="582"/>
    </row>
    <row r="98" spans="1:17" ht="14.4" x14ac:dyDescent="0.25">
      <c r="B98" s="15" t="s">
        <v>205</v>
      </c>
      <c r="C98" s="73">
        <v>19.14</v>
      </c>
      <c r="D98" s="131">
        <v>17.95</v>
      </c>
      <c r="E98" s="33">
        <v>1</v>
      </c>
      <c r="F98" s="131"/>
      <c r="G98" s="131"/>
      <c r="H98" s="131"/>
      <c r="I98" s="46">
        <f>C98*E98</f>
        <v>19.14</v>
      </c>
      <c r="J98" s="46"/>
      <c r="K98" s="46"/>
      <c r="L98" s="46"/>
      <c r="M98" s="136"/>
      <c r="N98" s="63"/>
      <c r="O98" s="63"/>
      <c r="P98" s="63">
        <f>D98*E98</f>
        <v>17.95</v>
      </c>
      <c r="Q98" s="214">
        <f t="shared" ref="Q98" si="54">D98*E98</f>
        <v>17.95</v>
      </c>
    </row>
    <row r="99" spans="1:17" ht="14.4" x14ac:dyDescent="0.25">
      <c r="B99" s="15" t="s">
        <v>205</v>
      </c>
      <c r="C99" s="73">
        <v>9.3800000000000008</v>
      </c>
      <c r="D99" s="131">
        <v>12.5</v>
      </c>
      <c r="E99" s="33">
        <v>1</v>
      </c>
      <c r="F99" s="131"/>
      <c r="G99" s="131"/>
      <c r="H99" s="131"/>
      <c r="I99" s="46"/>
      <c r="J99" s="46"/>
      <c r="K99" s="46"/>
      <c r="L99" s="46">
        <f>C99*E99</f>
        <v>9.3800000000000008</v>
      </c>
      <c r="M99" s="136"/>
      <c r="N99" s="63"/>
      <c r="O99" s="63"/>
      <c r="P99" s="63"/>
      <c r="Q99" s="214"/>
    </row>
    <row r="100" spans="1:17" ht="14.4" x14ac:dyDescent="0.25">
      <c r="B100" s="15" t="s">
        <v>229</v>
      </c>
      <c r="C100" s="73">
        <v>0.46</v>
      </c>
      <c r="D100" s="131">
        <v>3.85</v>
      </c>
      <c r="E100" s="33">
        <v>1</v>
      </c>
      <c r="F100" s="131"/>
      <c r="G100" s="131"/>
      <c r="H100" s="131"/>
      <c r="I100" s="46"/>
      <c r="J100" s="46"/>
      <c r="K100" s="46"/>
      <c r="L100" s="46"/>
      <c r="M100" s="136"/>
      <c r="N100" s="63"/>
      <c r="O100" s="63"/>
      <c r="P100" s="63"/>
      <c r="Q100" s="214"/>
    </row>
    <row r="101" spans="1:17" ht="14.4" x14ac:dyDescent="0.25">
      <c r="B101" s="220" t="s">
        <v>168</v>
      </c>
      <c r="C101" s="222">
        <v>15.95</v>
      </c>
      <c r="D101" s="131">
        <f>45.76</f>
        <v>45.76</v>
      </c>
      <c r="E101" s="33">
        <v>1</v>
      </c>
      <c r="F101" s="131"/>
      <c r="G101" s="131"/>
      <c r="H101" s="131"/>
      <c r="I101" s="46">
        <f>C101*E101</f>
        <v>15.95</v>
      </c>
      <c r="J101" s="46"/>
      <c r="K101" s="46"/>
      <c r="L101" s="46"/>
      <c r="M101" s="136"/>
      <c r="N101" s="63"/>
      <c r="O101" s="63"/>
      <c r="P101" s="63">
        <f>D101*E101</f>
        <v>45.76</v>
      </c>
      <c r="Q101" s="214">
        <f t="shared" ref="Q101" si="55">D101*E101</f>
        <v>45.76</v>
      </c>
    </row>
    <row r="102" spans="1:17" ht="14.4" x14ac:dyDescent="0.25">
      <c r="B102" s="157" t="s">
        <v>168</v>
      </c>
      <c r="C102" s="73">
        <v>7.05</v>
      </c>
      <c r="D102" s="131">
        <v>11.26</v>
      </c>
      <c r="E102" s="33">
        <v>1</v>
      </c>
      <c r="F102" s="131"/>
      <c r="G102" s="131"/>
      <c r="H102" s="131"/>
      <c r="I102" s="46"/>
      <c r="J102" s="46"/>
      <c r="K102" s="46"/>
      <c r="L102" s="46">
        <f>C102*E102</f>
        <v>7.05</v>
      </c>
      <c r="M102" s="136"/>
      <c r="N102" s="63"/>
      <c r="O102" s="63"/>
      <c r="P102" s="63"/>
      <c r="Q102" s="214"/>
    </row>
    <row r="103" spans="1:17" ht="14.4" x14ac:dyDescent="0.25">
      <c r="B103" s="157" t="s">
        <v>229</v>
      </c>
      <c r="C103" s="73">
        <v>3.03</v>
      </c>
      <c r="D103" s="131">
        <v>8.51</v>
      </c>
      <c r="E103" s="33">
        <v>1</v>
      </c>
      <c r="F103" s="131"/>
      <c r="G103" s="131"/>
      <c r="H103" s="131"/>
      <c r="I103" s="46"/>
      <c r="J103" s="46"/>
      <c r="K103" s="46"/>
      <c r="L103" s="46"/>
      <c r="M103" s="136"/>
      <c r="N103" s="63"/>
      <c r="O103" s="63"/>
      <c r="P103" s="63"/>
      <c r="Q103" s="214"/>
    </row>
    <row r="104" spans="1:17" ht="14.4" x14ac:dyDescent="0.25">
      <c r="B104" s="220" t="s">
        <v>168</v>
      </c>
      <c r="C104" s="222">
        <v>11.45</v>
      </c>
      <c r="D104" s="131">
        <f>14.32</f>
        <v>14.32</v>
      </c>
      <c r="E104" s="33">
        <v>1</v>
      </c>
      <c r="F104" s="131"/>
      <c r="G104" s="131"/>
      <c r="H104" s="131"/>
      <c r="I104" s="46">
        <f>C104*E104</f>
        <v>11.45</v>
      </c>
      <c r="J104" s="46"/>
      <c r="K104" s="46"/>
      <c r="L104" s="46"/>
      <c r="M104" s="136"/>
      <c r="N104" s="63"/>
      <c r="O104" s="63"/>
      <c r="P104" s="63">
        <f>D104*E104</f>
        <v>14.32</v>
      </c>
      <c r="Q104" s="214">
        <f t="shared" ref="Q104" si="56">D104*E104</f>
        <v>14.32</v>
      </c>
    </row>
    <row r="105" spans="1:17" ht="14.4" x14ac:dyDescent="0.25">
      <c r="B105" s="157" t="s">
        <v>168</v>
      </c>
      <c r="C105" s="73">
        <v>6.25</v>
      </c>
      <c r="D105" s="131">
        <v>12.5</v>
      </c>
      <c r="E105" s="33">
        <v>1</v>
      </c>
      <c r="F105" s="131"/>
      <c r="G105" s="131"/>
      <c r="H105" s="131"/>
      <c r="I105" s="46"/>
      <c r="J105" s="46"/>
      <c r="K105" s="46">
        <f>C105*E105</f>
        <v>6.25</v>
      </c>
      <c r="L105" s="46"/>
      <c r="M105" s="136"/>
      <c r="N105" s="63"/>
      <c r="O105" s="63"/>
      <c r="P105" s="63"/>
      <c r="Q105" s="214"/>
    </row>
    <row r="106" spans="1:17" ht="14.4" x14ac:dyDescent="0.25">
      <c r="B106" s="157" t="s">
        <v>229</v>
      </c>
      <c r="C106" s="73">
        <v>1.1000000000000001</v>
      </c>
      <c r="D106" s="131">
        <v>7.44</v>
      </c>
      <c r="E106" s="33">
        <v>1</v>
      </c>
      <c r="F106" s="131"/>
      <c r="G106" s="131"/>
      <c r="H106" s="131"/>
      <c r="I106" s="46"/>
      <c r="J106" s="46"/>
      <c r="K106" s="46"/>
      <c r="L106" s="46"/>
      <c r="M106" s="136"/>
      <c r="N106" s="63"/>
      <c r="O106" s="63"/>
      <c r="P106" s="63"/>
      <c r="Q106" s="214"/>
    </row>
    <row r="107" spans="1:17" ht="14.4" x14ac:dyDescent="0.25">
      <c r="B107" s="220" t="s">
        <v>168</v>
      </c>
      <c r="C107" s="222">
        <v>65.36</v>
      </c>
      <c r="D107" s="131">
        <f>69.31</f>
        <v>69.31</v>
      </c>
      <c r="E107" s="33">
        <v>1</v>
      </c>
      <c r="F107" s="131"/>
      <c r="G107" s="131"/>
      <c r="H107" s="131"/>
      <c r="I107" s="46">
        <f>C107*E107</f>
        <v>65.36</v>
      </c>
      <c r="J107" s="46"/>
      <c r="K107" s="46"/>
      <c r="L107" s="46"/>
      <c r="M107" s="136"/>
      <c r="N107" s="63"/>
      <c r="O107" s="63"/>
      <c r="P107" s="63">
        <f>D107*E107</f>
        <v>69.31</v>
      </c>
      <c r="Q107" s="214">
        <f t="shared" ref="Q107" si="57">D107*E107</f>
        <v>69.31</v>
      </c>
    </row>
    <row r="108" spans="1:17" ht="14.4" x14ac:dyDescent="0.25">
      <c r="B108" s="157" t="s">
        <v>168</v>
      </c>
      <c r="C108" s="73">
        <v>69.56</v>
      </c>
      <c r="D108" s="131">
        <v>83.78</v>
      </c>
      <c r="E108" s="33">
        <v>1</v>
      </c>
      <c r="F108" s="131"/>
      <c r="G108" s="131"/>
      <c r="H108" s="131"/>
      <c r="I108" s="46"/>
      <c r="J108" s="46"/>
      <c r="K108" s="46">
        <f>C108*E108</f>
        <v>69.56</v>
      </c>
      <c r="L108" s="46"/>
      <c r="M108" s="136"/>
      <c r="N108" s="63"/>
      <c r="O108" s="63"/>
      <c r="P108" s="63"/>
      <c r="Q108" s="214"/>
    </row>
    <row r="109" spans="1:17" ht="14.4" x14ac:dyDescent="0.25">
      <c r="B109" s="15" t="s">
        <v>206</v>
      </c>
      <c r="C109" s="73">
        <v>13.71</v>
      </c>
      <c r="D109" s="131">
        <v>16.420000000000002</v>
      </c>
      <c r="E109" s="33">
        <v>1</v>
      </c>
      <c r="F109" s="131"/>
      <c r="G109" s="131"/>
      <c r="H109" s="131"/>
      <c r="I109" s="46">
        <f>C109*E109</f>
        <v>13.71</v>
      </c>
      <c r="J109" s="46"/>
      <c r="K109" s="46"/>
      <c r="L109" s="46"/>
      <c r="M109" s="136"/>
      <c r="N109" s="63"/>
      <c r="O109" s="63"/>
      <c r="P109" s="63">
        <f>D109*E109</f>
        <v>16.420000000000002</v>
      </c>
      <c r="Q109" s="214">
        <f t="shared" ref="Q109:Q143" si="58">D109*E109</f>
        <v>16.420000000000002</v>
      </c>
    </row>
    <row r="110" spans="1:17" ht="14.4" x14ac:dyDescent="0.25">
      <c r="B110" s="15" t="s">
        <v>207</v>
      </c>
      <c r="C110" s="73">
        <v>17.18</v>
      </c>
      <c r="D110" s="131">
        <v>17.489999999999998</v>
      </c>
      <c r="E110" s="33">
        <v>1</v>
      </c>
      <c r="F110" s="131"/>
      <c r="G110" s="131"/>
      <c r="H110" s="131"/>
      <c r="I110" s="46">
        <f t="shared" ref="I110:I113" si="59">C110*E110</f>
        <v>17.18</v>
      </c>
      <c r="J110" s="46"/>
      <c r="K110" s="46"/>
      <c r="L110" s="46"/>
      <c r="M110" s="136"/>
      <c r="N110" s="63"/>
      <c r="O110" s="63"/>
      <c r="P110" s="63">
        <f t="shared" ref="P110:P138" si="60">D110*E110</f>
        <v>17.489999999999998</v>
      </c>
      <c r="Q110" s="214">
        <f t="shared" si="58"/>
        <v>17.489999999999998</v>
      </c>
    </row>
    <row r="111" spans="1:17" ht="14.4" x14ac:dyDescent="0.25">
      <c r="B111" s="15" t="s">
        <v>181</v>
      </c>
      <c r="C111" s="73">
        <v>23.28</v>
      </c>
      <c r="D111" s="131">
        <v>19.649999999999999</v>
      </c>
      <c r="E111" s="33">
        <v>1</v>
      </c>
      <c r="F111" s="131"/>
      <c r="G111" s="131"/>
      <c r="H111" s="131"/>
      <c r="I111" s="46">
        <f t="shared" si="59"/>
        <v>23.28</v>
      </c>
      <c r="J111" s="46"/>
      <c r="K111" s="46"/>
      <c r="L111" s="46"/>
      <c r="M111" s="136"/>
      <c r="N111" s="63"/>
      <c r="O111" s="63"/>
      <c r="P111" s="63">
        <f t="shared" si="60"/>
        <v>19.649999999999999</v>
      </c>
      <c r="Q111" s="214">
        <f t="shared" si="58"/>
        <v>19.649999999999999</v>
      </c>
    </row>
    <row r="112" spans="1:17" ht="14.4" x14ac:dyDescent="0.25">
      <c r="B112" s="220" t="s">
        <v>208</v>
      </c>
      <c r="C112" s="222">
        <v>14.43</v>
      </c>
      <c r="D112" s="131">
        <f>16.8</f>
        <v>16.8</v>
      </c>
      <c r="E112" s="33">
        <v>1</v>
      </c>
      <c r="F112" s="131"/>
      <c r="G112" s="131"/>
      <c r="H112" s="131"/>
      <c r="I112" s="46">
        <f t="shared" si="59"/>
        <v>14.43</v>
      </c>
      <c r="J112" s="46"/>
      <c r="K112" s="46"/>
      <c r="L112" s="46"/>
      <c r="M112" s="136"/>
      <c r="N112" s="63"/>
      <c r="O112" s="63"/>
      <c r="P112" s="63">
        <f t="shared" si="60"/>
        <v>16.8</v>
      </c>
      <c r="Q112" s="214">
        <f t="shared" si="58"/>
        <v>16.8</v>
      </c>
    </row>
    <row r="113" spans="2:17" ht="14.4" x14ac:dyDescent="0.25">
      <c r="B113" s="220" t="s">
        <v>209</v>
      </c>
      <c r="C113" s="222">
        <v>18.29</v>
      </c>
      <c r="D113" s="131">
        <f>17.46</f>
        <v>17.46</v>
      </c>
      <c r="E113" s="33">
        <v>1</v>
      </c>
      <c r="F113" s="131"/>
      <c r="G113" s="131"/>
      <c r="H113" s="131"/>
      <c r="I113" s="46">
        <f t="shared" si="59"/>
        <v>18.29</v>
      </c>
      <c r="J113" s="46"/>
      <c r="K113" s="46"/>
      <c r="L113" s="46"/>
      <c r="M113" s="136"/>
      <c r="N113" s="63"/>
      <c r="O113" s="63"/>
      <c r="P113" s="63">
        <f t="shared" si="60"/>
        <v>17.46</v>
      </c>
      <c r="Q113" s="214">
        <f t="shared" si="58"/>
        <v>17.46</v>
      </c>
    </row>
    <row r="114" spans="2:17" ht="14.4" x14ac:dyDescent="0.25">
      <c r="B114" s="220" t="s">
        <v>168</v>
      </c>
      <c r="C114" s="222">
        <v>14.02</v>
      </c>
      <c r="D114" s="131">
        <f>18.74</f>
        <v>18.739999999999998</v>
      </c>
      <c r="E114" s="33">
        <v>1</v>
      </c>
      <c r="F114" s="131"/>
      <c r="G114" s="131"/>
      <c r="H114" s="131"/>
      <c r="I114" s="46">
        <f>C114*E114</f>
        <v>14.02</v>
      </c>
      <c r="J114" s="46"/>
      <c r="K114" s="46"/>
      <c r="L114" s="46"/>
      <c r="M114" s="136"/>
      <c r="N114" s="63"/>
      <c r="O114" s="63"/>
      <c r="P114" s="63">
        <f t="shared" si="60"/>
        <v>18.739999999999998</v>
      </c>
      <c r="Q114" s="214">
        <f t="shared" si="58"/>
        <v>18.739999999999998</v>
      </c>
    </row>
    <row r="115" spans="2:17" ht="14.4" x14ac:dyDescent="0.25">
      <c r="B115" s="220" t="s">
        <v>210</v>
      </c>
      <c r="C115" s="222">
        <v>8.48</v>
      </c>
      <c r="D115" s="131">
        <f>13.85</f>
        <v>13.85</v>
      </c>
      <c r="E115" s="33">
        <v>1</v>
      </c>
      <c r="F115" s="131"/>
      <c r="G115" s="131"/>
      <c r="H115" s="131"/>
      <c r="I115" s="46">
        <f>C115*E115</f>
        <v>8.48</v>
      </c>
      <c r="J115" s="46"/>
      <c r="K115" s="46"/>
      <c r="L115" s="46"/>
      <c r="M115" s="136"/>
      <c r="N115" s="63"/>
      <c r="O115" s="63"/>
      <c r="P115" s="63">
        <f t="shared" si="60"/>
        <v>13.85</v>
      </c>
      <c r="Q115" s="214">
        <f t="shared" si="58"/>
        <v>13.85</v>
      </c>
    </row>
    <row r="116" spans="2:17" ht="14.4" x14ac:dyDescent="0.25">
      <c r="B116" s="220" t="s">
        <v>168</v>
      </c>
      <c r="C116" s="222">
        <v>4.0199999999999996</v>
      </c>
      <c r="D116" s="131">
        <f>9.85</f>
        <v>9.85</v>
      </c>
      <c r="E116" s="33">
        <v>1</v>
      </c>
      <c r="F116" s="131"/>
      <c r="G116" s="131"/>
      <c r="H116" s="131"/>
      <c r="I116" s="46">
        <f>C116*E116</f>
        <v>4.0199999999999996</v>
      </c>
      <c r="J116" s="46"/>
      <c r="K116" s="46"/>
      <c r="L116" s="46"/>
      <c r="M116" s="136"/>
      <c r="N116" s="63"/>
      <c r="O116" s="63"/>
      <c r="P116" s="63">
        <f t="shared" si="60"/>
        <v>9.85</v>
      </c>
      <c r="Q116" s="214">
        <f t="shared" si="58"/>
        <v>9.85</v>
      </c>
    </row>
    <row r="117" spans="2:17" ht="14.4" x14ac:dyDescent="0.25">
      <c r="B117" s="220" t="s">
        <v>211</v>
      </c>
      <c r="C117" s="222">
        <v>4.03</v>
      </c>
      <c r="D117" s="131">
        <v>8.0500000000000007</v>
      </c>
      <c r="E117" s="33">
        <v>1</v>
      </c>
      <c r="F117" s="131"/>
      <c r="G117" s="131"/>
      <c r="H117" s="131"/>
      <c r="I117" s="46">
        <f>C117*E117</f>
        <v>4.03</v>
      </c>
      <c r="J117" s="46"/>
      <c r="K117" s="46"/>
      <c r="L117" s="46"/>
      <c r="M117" s="136"/>
      <c r="N117" s="63"/>
      <c r="O117" s="63"/>
      <c r="P117" s="63">
        <f t="shared" si="60"/>
        <v>8.0500000000000007</v>
      </c>
      <c r="Q117" s="214">
        <f t="shared" si="58"/>
        <v>8.0500000000000007</v>
      </c>
    </row>
    <row r="118" spans="2:17" ht="14.4" x14ac:dyDescent="0.25">
      <c r="B118" s="15" t="s">
        <v>158</v>
      </c>
      <c r="C118" s="73">
        <v>2.61</v>
      </c>
      <c r="D118" s="131">
        <v>6.61</v>
      </c>
      <c r="E118" s="33">
        <v>1</v>
      </c>
      <c r="F118" s="131"/>
      <c r="G118" s="131"/>
      <c r="H118" s="131"/>
      <c r="I118" s="46"/>
      <c r="J118" s="46">
        <f>C118*E118</f>
        <v>2.61</v>
      </c>
      <c r="K118" s="46"/>
      <c r="L118" s="46"/>
      <c r="M118" s="136"/>
      <c r="N118" s="63"/>
      <c r="O118" s="63"/>
      <c r="P118" s="63">
        <f t="shared" si="60"/>
        <v>6.61</v>
      </c>
      <c r="Q118" s="214">
        <f t="shared" si="58"/>
        <v>6.61</v>
      </c>
    </row>
    <row r="119" spans="2:17" ht="14.4" x14ac:dyDescent="0.25">
      <c r="B119" s="15" t="s">
        <v>212</v>
      </c>
      <c r="C119" s="73">
        <v>3.36</v>
      </c>
      <c r="D119" s="131">
        <v>7.36</v>
      </c>
      <c r="E119" s="33">
        <v>1</v>
      </c>
      <c r="F119" s="131"/>
      <c r="G119" s="131"/>
      <c r="H119" s="131"/>
      <c r="I119" s="46">
        <f>C119*E119</f>
        <v>3.36</v>
      </c>
      <c r="J119" s="46"/>
      <c r="K119" s="46"/>
      <c r="L119" s="46"/>
      <c r="M119" s="136"/>
      <c r="N119" s="63"/>
      <c r="O119" s="63"/>
      <c r="P119" s="63">
        <f t="shared" si="60"/>
        <v>7.36</v>
      </c>
      <c r="Q119" s="214">
        <f t="shared" si="58"/>
        <v>7.36</v>
      </c>
    </row>
    <row r="120" spans="2:17" ht="14.4" x14ac:dyDescent="0.25">
      <c r="B120" s="15" t="s">
        <v>213</v>
      </c>
      <c r="C120" s="73">
        <v>3.08</v>
      </c>
      <c r="D120" s="131">
        <v>7.2</v>
      </c>
      <c r="E120" s="33">
        <v>1</v>
      </c>
      <c r="F120" s="131"/>
      <c r="G120" s="131"/>
      <c r="H120" s="131"/>
      <c r="I120" s="46"/>
      <c r="J120" s="46">
        <f>C120*E120</f>
        <v>3.08</v>
      </c>
      <c r="K120" s="46"/>
      <c r="L120" s="46"/>
      <c r="M120" s="136"/>
      <c r="N120" s="63"/>
      <c r="O120" s="63"/>
      <c r="P120" s="63">
        <f t="shared" si="60"/>
        <v>7.2</v>
      </c>
      <c r="Q120" s="214">
        <f t="shared" si="58"/>
        <v>7.2</v>
      </c>
    </row>
    <row r="121" spans="2:17" ht="14.4" x14ac:dyDescent="0.25">
      <c r="B121" s="15" t="s">
        <v>214</v>
      </c>
      <c r="C121" s="73">
        <v>6.72</v>
      </c>
      <c r="D121" s="131">
        <v>10.51</v>
      </c>
      <c r="E121" s="33">
        <v>1</v>
      </c>
      <c r="F121" s="131"/>
      <c r="G121" s="131"/>
      <c r="H121" s="131"/>
      <c r="I121" s="46">
        <f>C121*E121</f>
        <v>6.72</v>
      </c>
      <c r="J121" s="46"/>
      <c r="K121" s="46"/>
      <c r="L121" s="46"/>
      <c r="M121" s="136"/>
      <c r="N121" s="63"/>
      <c r="O121" s="63"/>
      <c r="P121" s="63">
        <f t="shared" si="60"/>
        <v>10.51</v>
      </c>
      <c r="Q121" s="214">
        <f t="shared" si="58"/>
        <v>10.51</v>
      </c>
    </row>
    <row r="122" spans="2:17" ht="14.4" x14ac:dyDescent="0.25">
      <c r="B122" s="15" t="s">
        <v>158</v>
      </c>
      <c r="C122" s="73">
        <v>3.3</v>
      </c>
      <c r="D122" s="131">
        <v>7.39</v>
      </c>
      <c r="E122" s="33">
        <v>1</v>
      </c>
      <c r="F122" s="131"/>
      <c r="G122" s="131"/>
      <c r="H122" s="131"/>
      <c r="I122" s="46"/>
      <c r="J122" s="46">
        <f>C122*E122</f>
        <v>3.3</v>
      </c>
      <c r="K122" s="46"/>
      <c r="L122" s="46"/>
      <c r="M122" s="136"/>
      <c r="N122" s="63"/>
      <c r="O122" s="63"/>
      <c r="P122" s="63">
        <f t="shared" si="60"/>
        <v>7.39</v>
      </c>
      <c r="Q122" s="214">
        <f t="shared" si="58"/>
        <v>7.39</v>
      </c>
    </row>
    <row r="123" spans="2:17" ht="14.4" x14ac:dyDescent="0.25">
      <c r="B123" s="15" t="s">
        <v>181</v>
      </c>
      <c r="C123" s="73">
        <v>28.44</v>
      </c>
      <c r="D123" s="131">
        <v>23.14</v>
      </c>
      <c r="E123" s="33">
        <v>1</v>
      </c>
      <c r="F123" s="131"/>
      <c r="G123" s="131"/>
      <c r="H123" s="131"/>
      <c r="I123" s="46">
        <f>C123*E123</f>
        <v>28.44</v>
      </c>
      <c r="J123" s="46"/>
      <c r="K123" s="46"/>
      <c r="L123" s="46"/>
      <c r="M123" s="136"/>
      <c r="N123" s="63"/>
      <c r="O123" s="63"/>
      <c r="P123" s="63">
        <f t="shared" si="60"/>
        <v>23.14</v>
      </c>
      <c r="Q123" s="214">
        <f t="shared" si="58"/>
        <v>23.14</v>
      </c>
    </row>
    <row r="124" spans="2:17" ht="14.4" x14ac:dyDescent="0.25">
      <c r="B124" s="15" t="s">
        <v>215</v>
      </c>
      <c r="C124" s="73">
        <v>7.81</v>
      </c>
      <c r="D124" s="131">
        <v>11.25</v>
      </c>
      <c r="E124" s="33">
        <v>1</v>
      </c>
      <c r="F124" s="131"/>
      <c r="G124" s="131"/>
      <c r="H124" s="131"/>
      <c r="I124" s="46">
        <f t="shared" ref="I124:I133" si="61">C124*E124</f>
        <v>7.81</v>
      </c>
      <c r="J124" s="46"/>
      <c r="K124" s="46"/>
      <c r="L124" s="46"/>
      <c r="M124" s="136"/>
      <c r="N124" s="63"/>
      <c r="O124" s="63"/>
      <c r="P124" s="63">
        <f t="shared" si="60"/>
        <v>11.25</v>
      </c>
      <c r="Q124" s="214">
        <f t="shared" si="58"/>
        <v>11.25</v>
      </c>
    </row>
    <row r="125" spans="2:17" ht="14.4" x14ac:dyDescent="0.25">
      <c r="B125" s="15" t="s">
        <v>216</v>
      </c>
      <c r="C125" s="73">
        <v>7.84</v>
      </c>
      <c r="D125" s="131">
        <v>11.27</v>
      </c>
      <c r="E125" s="33">
        <v>1</v>
      </c>
      <c r="F125" s="131"/>
      <c r="G125" s="131"/>
      <c r="H125" s="131"/>
      <c r="I125" s="46">
        <f t="shared" si="61"/>
        <v>7.84</v>
      </c>
      <c r="J125" s="46"/>
      <c r="K125" s="46"/>
      <c r="L125" s="46"/>
      <c r="M125" s="136"/>
      <c r="N125" s="63"/>
      <c r="O125" s="63"/>
      <c r="P125" s="63">
        <f t="shared" si="60"/>
        <v>11.27</v>
      </c>
      <c r="Q125" s="214">
        <f t="shared" si="58"/>
        <v>11.27</v>
      </c>
    </row>
    <row r="126" spans="2:17" ht="14.4" x14ac:dyDescent="0.25">
      <c r="B126" s="15" t="s">
        <v>217</v>
      </c>
      <c r="C126" s="73">
        <v>20.56</v>
      </c>
      <c r="D126" s="131">
        <v>19.170000000000002</v>
      </c>
      <c r="E126" s="33">
        <v>1</v>
      </c>
      <c r="F126" s="131"/>
      <c r="G126" s="131"/>
      <c r="H126" s="131"/>
      <c r="I126" s="46">
        <f t="shared" si="61"/>
        <v>20.56</v>
      </c>
      <c r="J126" s="46"/>
      <c r="K126" s="46"/>
      <c r="L126" s="46"/>
      <c r="M126" s="136"/>
      <c r="N126" s="63"/>
      <c r="O126" s="63"/>
      <c r="P126" s="63">
        <f t="shared" si="60"/>
        <v>19.170000000000002</v>
      </c>
      <c r="Q126" s="214">
        <f t="shared" si="58"/>
        <v>19.170000000000002</v>
      </c>
    </row>
    <row r="127" spans="2:17" ht="14.4" x14ac:dyDescent="0.25">
      <c r="B127" s="15" t="s">
        <v>218</v>
      </c>
      <c r="C127" s="73">
        <v>20.239999999999998</v>
      </c>
      <c r="D127" s="131">
        <v>19.059999999999999</v>
      </c>
      <c r="E127" s="33">
        <v>1</v>
      </c>
      <c r="F127" s="131"/>
      <c r="G127" s="131"/>
      <c r="H127" s="131"/>
      <c r="I127" s="46">
        <f t="shared" si="61"/>
        <v>20.239999999999998</v>
      </c>
      <c r="J127" s="46"/>
      <c r="K127" s="46"/>
      <c r="L127" s="46"/>
      <c r="M127" s="136"/>
      <c r="N127" s="63"/>
      <c r="O127" s="63"/>
      <c r="P127" s="63">
        <f t="shared" si="60"/>
        <v>19.059999999999999</v>
      </c>
      <c r="Q127" s="214">
        <f t="shared" si="58"/>
        <v>19.059999999999999</v>
      </c>
    </row>
    <row r="128" spans="2:17" ht="14.4" x14ac:dyDescent="0.25">
      <c r="B128" s="15" t="s">
        <v>219</v>
      </c>
      <c r="C128" s="73">
        <v>15.77</v>
      </c>
      <c r="D128" s="131">
        <v>17.739999999999998</v>
      </c>
      <c r="E128" s="33">
        <v>1</v>
      </c>
      <c r="F128" s="131"/>
      <c r="G128" s="131"/>
      <c r="H128" s="131"/>
      <c r="I128" s="46">
        <f t="shared" si="61"/>
        <v>15.77</v>
      </c>
      <c r="J128" s="46"/>
      <c r="K128" s="46"/>
      <c r="L128" s="46"/>
      <c r="M128" s="136"/>
      <c r="N128" s="63"/>
      <c r="O128" s="63"/>
      <c r="P128" s="63">
        <f t="shared" si="60"/>
        <v>17.739999999999998</v>
      </c>
      <c r="Q128" s="214">
        <f t="shared" si="58"/>
        <v>17.739999999999998</v>
      </c>
    </row>
    <row r="129" spans="2:17" ht="14.4" x14ac:dyDescent="0.25">
      <c r="B129" s="15" t="s">
        <v>220</v>
      </c>
      <c r="C129" s="73">
        <v>14.72</v>
      </c>
      <c r="D129" s="131">
        <v>17.57</v>
      </c>
      <c r="E129" s="33">
        <v>1</v>
      </c>
      <c r="F129" s="131"/>
      <c r="G129" s="131"/>
      <c r="H129" s="131"/>
      <c r="I129" s="46">
        <f t="shared" si="61"/>
        <v>14.72</v>
      </c>
      <c r="J129" s="46"/>
      <c r="K129" s="46"/>
      <c r="L129" s="46"/>
      <c r="M129" s="136"/>
      <c r="N129" s="63"/>
      <c r="O129" s="63"/>
      <c r="P129" s="63">
        <f t="shared" si="60"/>
        <v>17.57</v>
      </c>
      <c r="Q129" s="214">
        <f t="shared" si="58"/>
        <v>17.57</v>
      </c>
    </row>
    <row r="130" spans="2:17" ht="14.4" x14ac:dyDescent="0.25">
      <c r="B130" s="15" t="s">
        <v>221</v>
      </c>
      <c r="C130" s="73">
        <v>16.02</v>
      </c>
      <c r="D130" s="131">
        <v>17.82</v>
      </c>
      <c r="E130" s="33">
        <v>1</v>
      </c>
      <c r="F130" s="131"/>
      <c r="G130" s="131"/>
      <c r="H130" s="131"/>
      <c r="I130" s="46">
        <f t="shared" si="61"/>
        <v>16.02</v>
      </c>
      <c r="J130" s="46"/>
      <c r="K130" s="46"/>
      <c r="L130" s="46"/>
      <c r="M130" s="136"/>
      <c r="N130" s="63"/>
      <c r="O130" s="63"/>
      <c r="P130" s="63">
        <f t="shared" si="60"/>
        <v>17.82</v>
      </c>
      <c r="Q130" s="214">
        <f t="shared" si="58"/>
        <v>17.82</v>
      </c>
    </row>
    <row r="131" spans="2:17" ht="14.4" x14ac:dyDescent="0.25">
      <c r="B131" s="15" t="s">
        <v>222</v>
      </c>
      <c r="C131" s="73">
        <v>16.350000000000001</v>
      </c>
      <c r="D131" s="131">
        <v>17.920000000000002</v>
      </c>
      <c r="E131" s="33">
        <v>1</v>
      </c>
      <c r="F131" s="131"/>
      <c r="G131" s="131"/>
      <c r="H131" s="131"/>
      <c r="I131" s="46">
        <f t="shared" si="61"/>
        <v>16.350000000000001</v>
      </c>
      <c r="J131" s="46"/>
      <c r="K131" s="46"/>
      <c r="L131" s="46"/>
      <c r="M131" s="136"/>
      <c r="N131" s="63"/>
      <c r="O131" s="63"/>
      <c r="P131" s="63">
        <f t="shared" si="60"/>
        <v>17.920000000000002</v>
      </c>
      <c r="Q131" s="214">
        <f t="shared" si="58"/>
        <v>17.920000000000002</v>
      </c>
    </row>
    <row r="132" spans="2:17" ht="14.4" x14ac:dyDescent="0.25">
      <c r="B132" s="15" t="s">
        <v>223</v>
      </c>
      <c r="C132" s="73">
        <v>14.72</v>
      </c>
      <c r="D132" s="131">
        <v>17.59</v>
      </c>
      <c r="E132" s="33">
        <v>1</v>
      </c>
      <c r="F132" s="131"/>
      <c r="G132" s="131"/>
      <c r="H132" s="131"/>
      <c r="I132" s="46">
        <f t="shared" si="61"/>
        <v>14.72</v>
      </c>
      <c r="J132" s="46"/>
      <c r="K132" s="46"/>
      <c r="L132" s="46"/>
      <c r="M132" s="136"/>
      <c r="N132" s="63"/>
      <c r="O132" s="63"/>
      <c r="P132" s="63">
        <f t="shared" si="60"/>
        <v>17.59</v>
      </c>
      <c r="Q132" s="214">
        <f t="shared" si="58"/>
        <v>17.59</v>
      </c>
    </row>
    <row r="133" spans="2:17" ht="14.4" x14ac:dyDescent="0.25">
      <c r="B133" s="220" t="s">
        <v>224</v>
      </c>
      <c r="C133" s="222">
        <v>15.01</v>
      </c>
      <c r="D133" s="131">
        <f>18.25</f>
        <v>18.25</v>
      </c>
      <c r="E133" s="33">
        <v>1</v>
      </c>
      <c r="F133" s="131"/>
      <c r="G133" s="131"/>
      <c r="H133" s="131"/>
      <c r="I133" s="46">
        <f t="shared" si="61"/>
        <v>15.01</v>
      </c>
      <c r="J133" s="46"/>
      <c r="K133" s="46"/>
      <c r="L133" s="46"/>
      <c r="M133" s="136"/>
      <c r="N133" s="63"/>
      <c r="O133" s="63"/>
      <c r="P133" s="63">
        <f t="shared" ref="P133" si="62">D133*E133</f>
        <v>18.25</v>
      </c>
      <c r="Q133" s="214">
        <f t="shared" ref="Q133" si="63">D133*E133</f>
        <v>18.25</v>
      </c>
    </row>
    <row r="134" spans="2:17" ht="14.4" x14ac:dyDescent="0.25">
      <c r="B134" s="157" t="s">
        <v>224</v>
      </c>
      <c r="C134" s="73">
        <v>9.3800000000000008</v>
      </c>
      <c r="D134" s="131">
        <v>12.5</v>
      </c>
      <c r="E134" s="33">
        <v>1</v>
      </c>
      <c r="F134" s="131"/>
      <c r="G134" s="131"/>
      <c r="H134" s="131"/>
      <c r="I134" s="46"/>
      <c r="J134" s="46"/>
      <c r="K134" s="46">
        <f>C134*E134</f>
        <v>9.3800000000000008</v>
      </c>
      <c r="L134" s="46"/>
      <c r="M134" s="136"/>
      <c r="N134" s="63"/>
      <c r="O134" s="63"/>
      <c r="P134" s="63"/>
      <c r="Q134" s="214"/>
    </row>
    <row r="135" spans="2:17" ht="14.4" x14ac:dyDescent="0.25">
      <c r="B135" s="15" t="s">
        <v>212</v>
      </c>
      <c r="C135" s="73">
        <v>4.41</v>
      </c>
      <c r="D135" s="131">
        <v>8.59</v>
      </c>
      <c r="E135" s="33">
        <v>1</v>
      </c>
      <c r="F135" s="131"/>
      <c r="G135" s="131"/>
      <c r="H135" s="131"/>
      <c r="I135" s="46">
        <f>C135*E135</f>
        <v>4.41</v>
      </c>
      <c r="J135" s="46"/>
      <c r="K135" s="46"/>
      <c r="L135" s="46"/>
      <c r="M135" s="136"/>
      <c r="N135" s="63"/>
      <c r="O135" s="63"/>
      <c r="P135" s="63">
        <f t="shared" si="60"/>
        <v>8.59</v>
      </c>
      <c r="Q135" s="214">
        <f t="shared" si="58"/>
        <v>8.59</v>
      </c>
    </row>
    <row r="136" spans="2:17" ht="14.4" x14ac:dyDescent="0.25">
      <c r="B136" s="220" t="s">
        <v>168</v>
      </c>
      <c r="C136" s="222">
        <v>5.64</v>
      </c>
      <c r="D136" s="131">
        <f>11.8</f>
        <v>11.8</v>
      </c>
      <c r="E136" s="33">
        <v>1</v>
      </c>
      <c r="F136" s="131"/>
      <c r="G136" s="131"/>
      <c r="H136" s="131"/>
      <c r="I136" s="46">
        <f>C136*E136</f>
        <v>5.64</v>
      </c>
      <c r="J136" s="46"/>
      <c r="K136" s="46"/>
      <c r="L136" s="46"/>
      <c r="M136" s="136"/>
      <c r="N136" s="63"/>
      <c r="O136" s="63"/>
      <c r="P136" s="63">
        <f t="shared" si="60"/>
        <v>11.8</v>
      </c>
      <c r="Q136" s="214">
        <f t="shared" si="58"/>
        <v>11.8</v>
      </c>
    </row>
    <row r="137" spans="2:17" ht="14.4" x14ac:dyDescent="0.25">
      <c r="B137" s="15" t="s">
        <v>189</v>
      </c>
      <c r="C137" s="73">
        <v>3.4</v>
      </c>
      <c r="D137" s="131">
        <v>7.53</v>
      </c>
      <c r="E137" s="33">
        <v>1</v>
      </c>
      <c r="F137" s="131"/>
      <c r="G137" s="131"/>
      <c r="H137" s="131"/>
      <c r="I137" s="46"/>
      <c r="J137" s="46">
        <f>C137*E137</f>
        <v>3.4</v>
      </c>
      <c r="K137" s="46"/>
      <c r="L137" s="46"/>
      <c r="M137" s="136"/>
      <c r="N137" s="63"/>
      <c r="O137" s="63"/>
      <c r="P137" s="63">
        <f t="shared" si="60"/>
        <v>7.53</v>
      </c>
      <c r="Q137" s="214">
        <f t="shared" si="58"/>
        <v>7.53</v>
      </c>
    </row>
    <row r="138" spans="2:17" ht="14.4" x14ac:dyDescent="0.25">
      <c r="B138" s="15" t="s">
        <v>225</v>
      </c>
      <c r="C138" s="73">
        <v>7.07</v>
      </c>
      <c r="D138" s="131">
        <v>10.83</v>
      </c>
      <c r="E138" s="33">
        <v>2</v>
      </c>
      <c r="F138" s="131"/>
      <c r="G138" s="131"/>
      <c r="H138" s="131"/>
      <c r="I138" s="46"/>
      <c r="J138" s="46">
        <f>C138*E138</f>
        <v>14.14</v>
      </c>
      <c r="K138" s="46"/>
      <c r="L138" s="46"/>
      <c r="M138" s="136"/>
      <c r="N138" s="63"/>
      <c r="O138" s="63"/>
      <c r="P138" s="63">
        <f t="shared" si="60"/>
        <v>21.66</v>
      </c>
      <c r="Q138" s="214">
        <f t="shared" si="58"/>
        <v>21.66</v>
      </c>
    </row>
    <row r="139" spans="2:17" ht="28.8" x14ac:dyDescent="0.25">
      <c r="B139" s="254" t="s">
        <v>226</v>
      </c>
      <c r="C139" s="73">
        <v>6.26</v>
      </c>
      <c r="D139" s="131">
        <v>10.34</v>
      </c>
      <c r="E139" s="33">
        <v>1</v>
      </c>
      <c r="F139" s="131"/>
      <c r="G139" s="131"/>
      <c r="H139" s="131"/>
      <c r="I139" s="46">
        <f>C139*E139</f>
        <v>6.26</v>
      </c>
      <c r="J139" s="46"/>
      <c r="K139" s="46"/>
      <c r="L139" s="46"/>
      <c r="M139" s="136"/>
      <c r="N139" s="63"/>
      <c r="O139" s="63"/>
      <c r="P139" s="63">
        <f t="shared" ref="P139" si="64">D139*E139</f>
        <v>10.34</v>
      </c>
      <c r="Q139" s="214">
        <f t="shared" si="58"/>
        <v>10.34</v>
      </c>
    </row>
    <row r="140" spans="2:17" ht="14.4" x14ac:dyDescent="0.25">
      <c r="B140" s="254" t="s">
        <v>229</v>
      </c>
      <c r="C140" s="73">
        <v>1.62</v>
      </c>
      <c r="D140" s="131">
        <v>7.11</v>
      </c>
      <c r="E140" s="33">
        <v>1</v>
      </c>
      <c r="F140" s="131"/>
      <c r="G140" s="131"/>
      <c r="H140" s="131"/>
      <c r="I140" s="46"/>
      <c r="J140" s="46"/>
      <c r="K140" s="46"/>
      <c r="L140" s="46"/>
      <c r="M140" s="136"/>
      <c r="N140" s="63"/>
      <c r="O140" s="63"/>
      <c r="P140" s="63"/>
      <c r="Q140" s="214"/>
    </row>
    <row r="141" spans="2:17" ht="14.4" x14ac:dyDescent="0.25">
      <c r="B141" s="254" t="s">
        <v>229</v>
      </c>
      <c r="C141" s="73">
        <v>0.54</v>
      </c>
      <c r="D141" s="131">
        <v>3.07</v>
      </c>
      <c r="E141" s="33">
        <v>1</v>
      </c>
      <c r="F141" s="131"/>
      <c r="G141" s="131"/>
      <c r="H141" s="131"/>
      <c r="I141" s="46"/>
      <c r="J141" s="46"/>
      <c r="K141" s="46"/>
      <c r="L141" s="46"/>
      <c r="M141" s="136"/>
      <c r="N141" s="63"/>
      <c r="O141" s="63"/>
      <c r="P141" s="63"/>
      <c r="Q141" s="214"/>
    </row>
    <row r="142" spans="2:17" ht="14.4" x14ac:dyDescent="0.25">
      <c r="B142" s="254" t="s">
        <v>229</v>
      </c>
      <c r="C142" s="73">
        <v>1.1499999999999999</v>
      </c>
      <c r="D142" s="131">
        <v>5.38</v>
      </c>
      <c r="E142" s="33">
        <v>1</v>
      </c>
      <c r="F142" s="131"/>
      <c r="G142" s="131"/>
      <c r="H142" s="131"/>
      <c r="I142" s="46"/>
      <c r="J142" s="46"/>
      <c r="K142" s="46"/>
      <c r="L142" s="46"/>
      <c r="M142" s="136"/>
      <c r="N142" s="63"/>
      <c r="O142" s="63"/>
      <c r="P142" s="63"/>
      <c r="Q142" s="214"/>
    </row>
    <row r="143" spans="2:17" ht="15" thickBot="1" x14ac:dyDescent="0.3">
      <c r="B143" s="275" t="s">
        <v>168</v>
      </c>
      <c r="C143" s="344">
        <v>5.67</v>
      </c>
      <c r="D143" s="328">
        <v>10.220000000000001</v>
      </c>
      <c r="E143" s="330">
        <v>1</v>
      </c>
      <c r="F143" s="328"/>
      <c r="G143" s="328"/>
      <c r="H143" s="328"/>
      <c r="I143" s="358">
        <f>C143*E143</f>
        <v>5.67</v>
      </c>
      <c r="J143" s="358"/>
      <c r="K143" s="358"/>
      <c r="L143" s="358"/>
      <c r="M143" s="359"/>
      <c r="N143" s="360"/>
      <c r="O143" s="360"/>
      <c r="P143" s="360">
        <f t="shared" ref="P143:P170" si="65">D143*E143</f>
        <v>10.220000000000001</v>
      </c>
      <c r="Q143" s="362">
        <f t="shared" si="58"/>
        <v>10.220000000000001</v>
      </c>
    </row>
    <row r="144" spans="2:17" ht="14.4" x14ac:dyDescent="0.25">
      <c r="B144" s="318" t="s">
        <v>168</v>
      </c>
      <c r="C144" s="350">
        <v>17.350000000000001</v>
      </c>
      <c r="D144" s="322">
        <f>19.5-2</f>
        <v>17.5</v>
      </c>
      <c r="E144" s="29">
        <v>1</v>
      </c>
      <c r="F144" s="322"/>
      <c r="G144" s="322"/>
      <c r="H144" s="322"/>
      <c r="I144" s="46">
        <f t="shared" ref="I144:I148" si="66">C144*E144</f>
        <v>17.350000000000001</v>
      </c>
      <c r="J144" s="354"/>
      <c r="K144" s="354"/>
      <c r="L144" s="354"/>
      <c r="M144" s="355"/>
      <c r="N144" s="356"/>
      <c r="O144" s="356"/>
      <c r="P144" s="63">
        <f t="shared" si="65"/>
        <v>17.5</v>
      </c>
      <c r="Q144" s="214">
        <f t="shared" ref="Q144:Q170" si="67">D144*E144</f>
        <v>17.5</v>
      </c>
    </row>
    <row r="145" spans="2:17" ht="14.4" x14ac:dyDescent="0.25">
      <c r="B145" s="317" t="s">
        <v>168</v>
      </c>
      <c r="C145" s="222">
        <v>20.7</v>
      </c>
      <c r="D145" s="131">
        <f>25.99-7.52</f>
        <v>18.47</v>
      </c>
      <c r="E145" s="33">
        <v>1</v>
      </c>
      <c r="F145" s="131"/>
      <c r="G145" s="131"/>
      <c r="H145" s="131"/>
      <c r="I145" s="46">
        <f t="shared" si="66"/>
        <v>20.7</v>
      </c>
      <c r="J145" s="46"/>
      <c r="K145" s="46"/>
      <c r="L145" s="46"/>
      <c r="M145" s="136"/>
      <c r="N145" s="63"/>
      <c r="O145" s="63"/>
      <c r="P145" s="63">
        <f t="shared" si="65"/>
        <v>18.47</v>
      </c>
      <c r="Q145" s="214">
        <f t="shared" si="67"/>
        <v>18.47</v>
      </c>
    </row>
    <row r="146" spans="2:17" ht="14.4" x14ac:dyDescent="0.25">
      <c r="B146" s="317" t="s">
        <v>332</v>
      </c>
      <c r="C146" s="222">
        <v>24.51</v>
      </c>
      <c r="D146" s="131">
        <v>27.67</v>
      </c>
      <c r="E146" s="33">
        <v>1</v>
      </c>
      <c r="F146" s="131"/>
      <c r="G146" s="131"/>
      <c r="H146" s="131"/>
      <c r="I146" s="46"/>
      <c r="J146" s="46"/>
      <c r="K146" s="46"/>
      <c r="L146" s="46"/>
      <c r="M146" s="136"/>
      <c r="N146" s="63"/>
      <c r="O146" s="63">
        <f>C146*E146</f>
        <v>24.51</v>
      </c>
      <c r="P146" s="63"/>
      <c r="Q146" s="214"/>
    </row>
    <row r="147" spans="2:17" ht="14.4" x14ac:dyDescent="0.25">
      <c r="B147" s="262" t="s">
        <v>271</v>
      </c>
      <c r="C147" s="73">
        <v>11.67</v>
      </c>
      <c r="D147" s="131">
        <v>14.97</v>
      </c>
      <c r="E147" s="33">
        <v>1</v>
      </c>
      <c r="F147" s="131"/>
      <c r="G147" s="131"/>
      <c r="H147" s="131"/>
      <c r="I147" s="46">
        <f t="shared" si="66"/>
        <v>11.67</v>
      </c>
      <c r="J147" s="46"/>
      <c r="K147" s="46"/>
      <c r="L147" s="46"/>
      <c r="M147" s="136"/>
      <c r="N147" s="63"/>
      <c r="O147" s="63"/>
      <c r="P147" s="63">
        <f t="shared" si="65"/>
        <v>14.97</v>
      </c>
      <c r="Q147" s="214">
        <f t="shared" si="67"/>
        <v>14.97</v>
      </c>
    </row>
    <row r="148" spans="2:17" ht="14.4" x14ac:dyDescent="0.25">
      <c r="B148" s="262" t="s">
        <v>333</v>
      </c>
      <c r="C148" s="73">
        <v>5.9</v>
      </c>
      <c r="D148" s="131">
        <v>10.15</v>
      </c>
      <c r="E148" s="33">
        <v>1</v>
      </c>
      <c r="F148" s="131"/>
      <c r="G148" s="131"/>
      <c r="H148" s="131"/>
      <c r="I148" s="46">
        <f t="shared" si="66"/>
        <v>5.9</v>
      </c>
      <c r="J148" s="46"/>
      <c r="K148" s="46"/>
      <c r="L148" s="46"/>
      <c r="M148" s="136"/>
      <c r="N148" s="63"/>
      <c r="O148" s="63"/>
      <c r="P148" s="63">
        <f t="shared" si="65"/>
        <v>10.15</v>
      </c>
      <c r="Q148" s="214">
        <f t="shared" si="67"/>
        <v>10.15</v>
      </c>
    </row>
    <row r="149" spans="2:17" ht="14.4" x14ac:dyDescent="0.25">
      <c r="B149" s="262" t="s">
        <v>213</v>
      </c>
      <c r="C149" s="73">
        <v>3</v>
      </c>
      <c r="D149" s="131">
        <v>7.4</v>
      </c>
      <c r="E149" s="33">
        <v>1</v>
      </c>
      <c r="F149" s="131"/>
      <c r="G149" s="131"/>
      <c r="H149" s="131"/>
      <c r="I149" s="46"/>
      <c r="J149" s="46">
        <f>C149*E149</f>
        <v>3</v>
      </c>
      <c r="K149" s="46"/>
      <c r="L149" s="46"/>
      <c r="M149" s="136"/>
      <c r="N149" s="63"/>
      <c r="O149" s="63"/>
      <c r="P149" s="63">
        <f t="shared" si="65"/>
        <v>7.4</v>
      </c>
      <c r="Q149" s="214">
        <f t="shared" si="67"/>
        <v>7.4</v>
      </c>
    </row>
    <row r="150" spans="2:17" ht="14.4" x14ac:dyDescent="0.25">
      <c r="B150" s="262" t="s">
        <v>367</v>
      </c>
      <c r="C150" s="73">
        <v>4.49</v>
      </c>
      <c r="D150" s="131">
        <v>8.59</v>
      </c>
      <c r="E150" s="33">
        <v>2</v>
      </c>
      <c r="F150" s="131"/>
      <c r="G150" s="131"/>
      <c r="H150" s="131"/>
      <c r="I150" s="46"/>
      <c r="J150" s="46">
        <f>C150*E150</f>
        <v>8.98</v>
      </c>
      <c r="K150" s="46"/>
      <c r="L150" s="46"/>
      <c r="M150" s="136"/>
      <c r="N150" s="63"/>
      <c r="O150" s="63"/>
      <c r="P150" s="63">
        <f t="shared" si="65"/>
        <v>17.18</v>
      </c>
      <c r="Q150" s="214">
        <f t="shared" si="67"/>
        <v>17.18</v>
      </c>
    </row>
    <row r="151" spans="2:17" ht="14.4" x14ac:dyDescent="0.25">
      <c r="B151" s="262" t="s">
        <v>168</v>
      </c>
      <c r="C151" s="73">
        <v>6.29</v>
      </c>
      <c r="D151" s="131">
        <f>12.89-1.2</f>
        <v>11.690000000000001</v>
      </c>
      <c r="E151" s="33">
        <v>1</v>
      </c>
      <c r="F151" s="131"/>
      <c r="G151" s="131"/>
      <c r="H151" s="131"/>
      <c r="I151" s="46">
        <f t="shared" ref="I151:I170" si="68">C151*E151</f>
        <v>6.29</v>
      </c>
      <c r="J151" s="46"/>
      <c r="K151" s="46"/>
      <c r="L151" s="46"/>
      <c r="M151" s="136"/>
      <c r="N151" s="63"/>
      <c r="O151" s="63"/>
      <c r="P151" s="63">
        <f t="shared" si="65"/>
        <v>11.690000000000001</v>
      </c>
      <c r="Q151" s="214">
        <f t="shared" si="67"/>
        <v>11.690000000000001</v>
      </c>
    </row>
    <row r="152" spans="2:17" ht="14.4" x14ac:dyDescent="0.25">
      <c r="B152" s="262" t="s">
        <v>334</v>
      </c>
      <c r="C152" s="73">
        <v>3.36</v>
      </c>
      <c r="D152" s="131">
        <v>8</v>
      </c>
      <c r="E152" s="33">
        <v>1</v>
      </c>
      <c r="F152" s="131"/>
      <c r="G152" s="131"/>
      <c r="H152" s="131"/>
      <c r="I152" s="46">
        <f t="shared" si="68"/>
        <v>3.36</v>
      </c>
      <c r="J152" s="46"/>
      <c r="K152" s="46"/>
      <c r="L152" s="46"/>
      <c r="M152" s="136"/>
      <c r="N152" s="63"/>
      <c r="O152" s="63"/>
      <c r="P152" s="63">
        <f t="shared" si="65"/>
        <v>8</v>
      </c>
      <c r="Q152" s="214">
        <f t="shared" si="67"/>
        <v>8</v>
      </c>
    </row>
    <row r="153" spans="2:17" ht="14.4" x14ac:dyDescent="0.25">
      <c r="B153" s="262" t="s">
        <v>335</v>
      </c>
      <c r="C153" s="73">
        <v>6.26</v>
      </c>
      <c r="D153" s="131">
        <v>10.35</v>
      </c>
      <c r="E153" s="33">
        <v>1</v>
      </c>
      <c r="F153" s="131"/>
      <c r="G153" s="131"/>
      <c r="H153" s="131"/>
      <c r="I153" s="46">
        <f t="shared" si="68"/>
        <v>6.26</v>
      </c>
      <c r="J153" s="46"/>
      <c r="K153" s="46"/>
      <c r="L153" s="46"/>
      <c r="M153" s="136"/>
      <c r="N153" s="63"/>
      <c r="O153" s="63"/>
      <c r="P153" s="63">
        <f t="shared" si="65"/>
        <v>10.35</v>
      </c>
      <c r="Q153" s="214">
        <f t="shared" si="67"/>
        <v>10.35</v>
      </c>
    </row>
    <row r="154" spans="2:17" ht="14.4" x14ac:dyDescent="0.25">
      <c r="B154" s="317" t="s">
        <v>168</v>
      </c>
      <c r="C154" s="222">
        <v>4.38</v>
      </c>
      <c r="D154" s="131">
        <f>9.7-1.2</f>
        <v>8.5</v>
      </c>
      <c r="E154" s="33">
        <v>1</v>
      </c>
      <c r="F154" s="131"/>
      <c r="G154" s="131"/>
      <c r="H154" s="131"/>
      <c r="I154" s="46">
        <f t="shared" si="68"/>
        <v>4.38</v>
      </c>
      <c r="J154" s="46"/>
      <c r="K154" s="46"/>
      <c r="L154" s="46"/>
      <c r="M154" s="136"/>
      <c r="N154" s="63"/>
      <c r="O154" s="63"/>
      <c r="P154" s="63">
        <f t="shared" si="65"/>
        <v>8.5</v>
      </c>
      <c r="Q154" s="214">
        <f t="shared" si="67"/>
        <v>8.5</v>
      </c>
    </row>
    <row r="155" spans="2:17" ht="14.4" x14ac:dyDescent="0.25">
      <c r="B155" s="317" t="s">
        <v>168</v>
      </c>
      <c r="C155" s="222">
        <v>6.56</v>
      </c>
      <c r="D155" s="131">
        <f>10.89-1.2</f>
        <v>9.6900000000000013</v>
      </c>
      <c r="E155" s="33">
        <v>1</v>
      </c>
      <c r="F155" s="131"/>
      <c r="G155" s="131"/>
      <c r="H155" s="131"/>
      <c r="I155" s="46">
        <f t="shared" si="68"/>
        <v>6.56</v>
      </c>
      <c r="J155" s="46"/>
      <c r="K155" s="46"/>
      <c r="L155" s="46"/>
      <c r="M155" s="136"/>
      <c r="N155" s="63"/>
      <c r="O155" s="63"/>
      <c r="P155" s="63">
        <f t="shared" si="65"/>
        <v>9.6900000000000013</v>
      </c>
      <c r="Q155" s="214">
        <f t="shared" si="67"/>
        <v>9.6900000000000013</v>
      </c>
    </row>
    <row r="156" spans="2:17" ht="14.4" x14ac:dyDescent="0.25">
      <c r="B156" s="262" t="s">
        <v>336</v>
      </c>
      <c r="C156" s="73">
        <v>7.01</v>
      </c>
      <c r="D156" s="131">
        <v>10.84</v>
      </c>
      <c r="E156" s="33">
        <v>1</v>
      </c>
      <c r="F156" s="131"/>
      <c r="G156" s="131"/>
      <c r="H156" s="131"/>
      <c r="I156" s="46">
        <f t="shared" si="68"/>
        <v>7.01</v>
      </c>
      <c r="J156" s="46"/>
      <c r="K156" s="46"/>
      <c r="L156" s="46"/>
      <c r="M156" s="136"/>
      <c r="N156" s="63"/>
      <c r="O156" s="63"/>
      <c r="P156" s="63">
        <f t="shared" si="65"/>
        <v>10.84</v>
      </c>
      <c r="Q156" s="214">
        <f t="shared" si="67"/>
        <v>10.84</v>
      </c>
    </row>
    <row r="157" spans="2:17" ht="14.4" x14ac:dyDescent="0.25">
      <c r="B157" s="262" t="s">
        <v>158</v>
      </c>
      <c r="C157" s="73">
        <v>3.11</v>
      </c>
      <c r="D157" s="131">
        <v>7.19</v>
      </c>
      <c r="E157" s="33">
        <v>1</v>
      </c>
      <c r="F157" s="131"/>
      <c r="G157" s="131"/>
      <c r="H157" s="131"/>
      <c r="I157" s="46"/>
      <c r="J157" s="46">
        <f>C157*E157</f>
        <v>3.11</v>
      </c>
      <c r="K157" s="46"/>
      <c r="L157" s="46"/>
      <c r="M157" s="136"/>
      <c r="N157" s="63"/>
      <c r="O157" s="63"/>
      <c r="P157" s="63">
        <f t="shared" si="65"/>
        <v>7.19</v>
      </c>
      <c r="Q157" s="214">
        <f t="shared" si="67"/>
        <v>7.19</v>
      </c>
    </row>
    <row r="158" spans="2:17" ht="14.4" x14ac:dyDescent="0.25">
      <c r="B158" s="262" t="s">
        <v>337</v>
      </c>
      <c r="C158" s="73">
        <v>39.28</v>
      </c>
      <c r="D158" s="131">
        <v>28.24</v>
      </c>
      <c r="E158" s="33">
        <v>1</v>
      </c>
      <c r="F158" s="131"/>
      <c r="G158" s="131"/>
      <c r="H158" s="131"/>
      <c r="I158" s="46">
        <f t="shared" si="68"/>
        <v>39.28</v>
      </c>
      <c r="J158" s="46"/>
      <c r="K158" s="46"/>
      <c r="L158" s="46"/>
      <c r="M158" s="136"/>
      <c r="N158" s="63"/>
      <c r="O158" s="63"/>
      <c r="P158" s="63">
        <f t="shared" si="65"/>
        <v>28.24</v>
      </c>
      <c r="Q158" s="214">
        <f t="shared" si="67"/>
        <v>28.24</v>
      </c>
    </row>
    <row r="159" spans="2:17" ht="14.4" x14ac:dyDescent="0.25">
      <c r="B159" s="317" t="s">
        <v>338</v>
      </c>
      <c r="C159" s="222">
        <v>28.19</v>
      </c>
      <c r="D159" s="131">
        <f>23.4-1.31</f>
        <v>22.09</v>
      </c>
      <c r="E159" s="33">
        <v>1</v>
      </c>
      <c r="F159" s="131"/>
      <c r="G159" s="131"/>
      <c r="H159" s="131"/>
      <c r="I159" s="46">
        <f t="shared" si="68"/>
        <v>28.19</v>
      </c>
      <c r="J159" s="46"/>
      <c r="K159" s="46"/>
      <c r="L159" s="46"/>
      <c r="M159" s="136"/>
      <c r="N159" s="63"/>
      <c r="O159" s="63"/>
      <c r="P159" s="63">
        <f t="shared" si="65"/>
        <v>22.09</v>
      </c>
      <c r="Q159" s="214">
        <f t="shared" si="67"/>
        <v>22.09</v>
      </c>
    </row>
    <row r="160" spans="2:17" ht="14.4" x14ac:dyDescent="0.25">
      <c r="B160" s="317" t="s">
        <v>339</v>
      </c>
      <c r="C160" s="222">
        <v>22.96</v>
      </c>
      <c r="D160" s="131">
        <f>19.62-2.2</f>
        <v>17.420000000000002</v>
      </c>
      <c r="E160" s="33">
        <v>1</v>
      </c>
      <c r="F160" s="131"/>
      <c r="G160" s="131"/>
      <c r="H160" s="131"/>
      <c r="I160" s="46">
        <f t="shared" si="68"/>
        <v>22.96</v>
      </c>
      <c r="J160" s="46"/>
      <c r="K160" s="46"/>
      <c r="L160" s="46"/>
      <c r="M160" s="136"/>
      <c r="N160" s="63"/>
      <c r="O160" s="63"/>
      <c r="P160" s="63">
        <f t="shared" si="65"/>
        <v>17.420000000000002</v>
      </c>
      <c r="Q160" s="214">
        <f t="shared" si="67"/>
        <v>17.420000000000002</v>
      </c>
    </row>
    <row r="161" spans="2:18" ht="14.4" x14ac:dyDescent="0.25">
      <c r="B161" s="262" t="s">
        <v>340</v>
      </c>
      <c r="C161" s="73">
        <v>34.119999999999997</v>
      </c>
      <c r="D161" s="131">
        <f>25.77-1.3</f>
        <v>24.47</v>
      </c>
      <c r="E161" s="33">
        <v>1</v>
      </c>
      <c r="F161" s="131"/>
      <c r="G161" s="131"/>
      <c r="H161" s="131"/>
      <c r="I161" s="46">
        <f t="shared" si="68"/>
        <v>34.119999999999997</v>
      </c>
      <c r="J161" s="46"/>
      <c r="K161" s="46"/>
      <c r="L161" s="46"/>
      <c r="M161" s="136"/>
      <c r="N161" s="63"/>
      <c r="O161" s="63"/>
      <c r="P161" s="63">
        <f t="shared" si="65"/>
        <v>24.47</v>
      </c>
      <c r="Q161" s="214">
        <f t="shared" si="67"/>
        <v>24.47</v>
      </c>
    </row>
    <row r="162" spans="2:18" ht="14.4" x14ac:dyDescent="0.25">
      <c r="B162" s="262" t="s">
        <v>341</v>
      </c>
      <c r="C162" s="73">
        <v>2.5299999999999998</v>
      </c>
      <c r="D162" s="131">
        <f>10.62-4.21</f>
        <v>6.4099999999999993</v>
      </c>
      <c r="E162" s="33">
        <v>1</v>
      </c>
      <c r="F162" s="131"/>
      <c r="G162" s="131"/>
      <c r="H162" s="131"/>
      <c r="I162" s="46">
        <f t="shared" si="68"/>
        <v>2.5299999999999998</v>
      </c>
      <c r="J162" s="46"/>
      <c r="K162" s="46"/>
      <c r="L162" s="46"/>
      <c r="M162" s="136"/>
      <c r="N162" s="63"/>
      <c r="O162" s="63"/>
      <c r="P162" s="63">
        <f t="shared" si="65"/>
        <v>6.4099999999999993</v>
      </c>
      <c r="Q162" s="214">
        <f t="shared" si="67"/>
        <v>6.4099999999999993</v>
      </c>
    </row>
    <row r="163" spans="2:18" ht="14.4" x14ac:dyDescent="0.25">
      <c r="B163" s="317" t="s">
        <v>342</v>
      </c>
      <c r="C163" s="222">
        <v>20.89</v>
      </c>
      <c r="D163" s="131">
        <f>19.57-1.43</f>
        <v>18.14</v>
      </c>
      <c r="E163" s="33">
        <v>1</v>
      </c>
      <c r="F163" s="131"/>
      <c r="G163" s="131"/>
      <c r="H163" s="131"/>
      <c r="I163" s="46">
        <f t="shared" si="68"/>
        <v>20.89</v>
      </c>
      <c r="J163" s="46"/>
      <c r="K163" s="46"/>
      <c r="L163" s="46"/>
      <c r="M163" s="136"/>
      <c r="N163" s="63"/>
      <c r="O163" s="63"/>
      <c r="P163" s="63">
        <f t="shared" si="65"/>
        <v>18.14</v>
      </c>
      <c r="Q163" s="214">
        <f t="shared" si="67"/>
        <v>18.14</v>
      </c>
    </row>
    <row r="164" spans="2:18" ht="14.4" x14ac:dyDescent="0.25">
      <c r="B164" s="262" t="s">
        <v>257</v>
      </c>
      <c r="C164" s="73">
        <v>5.17</v>
      </c>
      <c r="D164" s="131">
        <v>9.1</v>
      </c>
      <c r="E164" s="33">
        <v>1</v>
      </c>
      <c r="F164" s="131"/>
      <c r="G164" s="131"/>
      <c r="H164" s="131"/>
      <c r="I164" s="46"/>
      <c r="J164" s="46">
        <f>C164*E164</f>
        <v>5.17</v>
      </c>
      <c r="K164" s="46"/>
      <c r="L164" s="46"/>
      <c r="M164" s="136"/>
      <c r="N164" s="63"/>
      <c r="O164" s="63"/>
      <c r="P164" s="63">
        <f t="shared" si="65"/>
        <v>9.1</v>
      </c>
      <c r="Q164" s="214">
        <f t="shared" si="67"/>
        <v>9.1</v>
      </c>
    </row>
    <row r="165" spans="2:18" ht="14.4" x14ac:dyDescent="0.25">
      <c r="B165" s="262" t="s">
        <v>343</v>
      </c>
      <c r="C165" s="73">
        <v>8.6</v>
      </c>
      <c r="D165" s="131">
        <v>12.22</v>
      </c>
      <c r="E165" s="33">
        <v>1</v>
      </c>
      <c r="F165" s="131"/>
      <c r="G165" s="131"/>
      <c r="H165" s="131"/>
      <c r="I165" s="46">
        <f t="shared" si="68"/>
        <v>8.6</v>
      </c>
      <c r="J165" s="46"/>
      <c r="K165" s="46"/>
      <c r="L165" s="46"/>
      <c r="M165" s="136"/>
      <c r="N165" s="63"/>
      <c r="O165" s="63"/>
      <c r="P165" s="63">
        <f t="shared" si="65"/>
        <v>12.22</v>
      </c>
      <c r="Q165" s="214">
        <f t="shared" si="67"/>
        <v>12.22</v>
      </c>
    </row>
    <row r="166" spans="2:18" ht="14.4" x14ac:dyDescent="0.25">
      <c r="B166" s="317" t="s">
        <v>247</v>
      </c>
      <c r="C166" s="222">
        <v>4.8600000000000003</v>
      </c>
      <c r="D166" s="131">
        <v>9.07</v>
      </c>
      <c r="E166" s="33">
        <v>1</v>
      </c>
      <c r="F166" s="131"/>
      <c r="G166" s="131"/>
      <c r="H166" s="131"/>
      <c r="I166" s="46">
        <f t="shared" si="68"/>
        <v>4.8600000000000003</v>
      </c>
      <c r="J166" s="46"/>
      <c r="K166" s="46"/>
      <c r="L166" s="46"/>
      <c r="M166" s="136"/>
      <c r="N166" s="63"/>
      <c r="O166" s="63"/>
      <c r="P166" s="63">
        <f t="shared" si="65"/>
        <v>9.07</v>
      </c>
      <c r="Q166" s="214">
        <f t="shared" si="67"/>
        <v>9.07</v>
      </c>
    </row>
    <row r="167" spans="2:18" ht="14.4" x14ac:dyDescent="0.25">
      <c r="B167" s="262" t="s">
        <v>168</v>
      </c>
      <c r="C167" s="73">
        <v>4.4400000000000004</v>
      </c>
      <c r="D167" s="131">
        <f>9.8-1.2</f>
        <v>8.6000000000000014</v>
      </c>
      <c r="E167" s="33">
        <v>1</v>
      </c>
      <c r="F167" s="131"/>
      <c r="G167" s="131"/>
      <c r="H167" s="131"/>
      <c r="I167" s="46">
        <f t="shared" si="68"/>
        <v>4.4400000000000004</v>
      </c>
      <c r="J167" s="46"/>
      <c r="K167" s="46"/>
      <c r="L167" s="46"/>
      <c r="M167" s="136"/>
      <c r="N167" s="63"/>
      <c r="O167" s="63"/>
      <c r="P167" s="63">
        <f t="shared" si="65"/>
        <v>8.6000000000000014</v>
      </c>
      <c r="Q167" s="214">
        <f t="shared" si="67"/>
        <v>8.6000000000000014</v>
      </c>
    </row>
    <row r="168" spans="2:18" ht="14.4" x14ac:dyDescent="0.25">
      <c r="B168" s="262" t="s">
        <v>344</v>
      </c>
      <c r="C168" s="73">
        <v>3.36</v>
      </c>
      <c r="D168" s="131">
        <v>7.45</v>
      </c>
      <c r="E168" s="33">
        <v>1</v>
      </c>
      <c r="F168" s="131"/>
      <c r="G168" s="131"/>
      <c r="H168" s="131"/>
      <c r="I168" s="46">
        <f t="shared" si="68"/>
        <v>3.36</v>
      </c>
      <c r="J168" s="46"/>
      <c r="K168" s="46"/>
      <c r="L168" s="46"/>
      <c r="M168" s="136"/>
      <c r="N168" s="63"/>
      <c r="O168" s="63"/>
      <c r="P168" s="63">
        <f t="shared" si="65"/>
        <v>7.45</v>
      </c>
      <c r="Q168" s="214">
        <f t="shared" si="67"/>
        <v>7.45</v>
      </c>
    </row>
    <row r="169" spans="2:18" ht="14.4" x14ac:dyDescent="0.25">
      <c r="B169" s="262" t="s">
        <v>614</v>
      </c>
      <c r="C169" s="73">
        <v>12.9</v>
      </c>
      <c r="D169" s="131">
        <v>15.32</v>
      </c>
      <c r="E169" s="33">
        <v>1</v>
      </c>
      <c r="F169" s="131"/>
      <c r="G169" s="131"/>
      <c r="H169" s="131"/>
      <c r="I169" s="46">
        <f t="shared" si="68"/>
        <v>12.9</v>
      </c>
      <c r="J169" s="46"/>
      <c r="K169" s="46"/>
      <c r="L169" s="46"/>
      <c r="M169" s="136"/>
      <c r="N169" s="63"/>
      <c r="O169" s="63"/>
      <c r="P169" s="63">
        <f t="shared" si="65"/>
        <v>15.32</v>
      </c>
      <c r="Q169" s="214">
        <f t="shared" si="67"/>
        <v>15.32</v>
      </c>
    </row>
    <row r="170" spans="2:18" ht="14.4" x14ac:dyDescent="0.25">
      <c r="B170" s="317" t="s">
        <v>205</v>
      </c>
      <c r="C170" s="222">
        <v>4.54</v>
      </c>
      <c r="D170" s="131">
        <f>8.57-1.93</f>
        <v>6.6400000000000006</v>
      </c>
      <c r="E170" s="33">
        <v>1</v>
      </c>
      <c r="F170" s="131"/>
      <c r="G170" s="131"/>
      <c r="H170" s="131"/>
      <c r="I170" s="46">
        <f t="shared" si="68"/>
        <v>4.54</v>
      </c>
      <c r="J170" s="46"/>
      <c r="K170" s="46"/>
      <c r="L170" s="46"/>
      <c r="M170" s="136"/>
      <c r="N170" s="63"/>
      <c r="O170" s="63"/>
      <c r="P170" s="63">
        <f t="shared" si="65"/>
        <v>6.6400000000000006</v>
      </c>
      <c r="Q170" s="214">
        <f t="shared" si="67"/>
        <v>6.6400000000000006</v>
      </c>
    </row>
    <row r="171" spans="2:18" ht="14.4" x14ac:dyDescent="0.25">
      <c r="B171" s="277" t="s">
        <v>612</v>
      </c>
      <c r="C171" s="73">
        <v>8.2799999999999994</v>
      </c>
      <c r="D171" s="131">
        <v>11.52</v>
      </c>
      <c r="E171" s="33">
        <v>1</v>
      </c>
      <c r="F171" s="131"/>
      <c r="G171" s="131"/>
      <c r="H171" s="131"/>
      <c r="I171" s="46"/>
      <c r="J171" s="46"/>
      <c r="K171" s="46"/>
      <c r="L171" s="46"/>
      <c r="M171" s="136"/>
      <c r="N171" s="63"/>
      <c r="O171" s="63">
        <f>C171*E171</f>
        <v>8.2799999999999994</v>
      </c>
      <c r="P171" s="63"/>
      <c r="Q171" s="214"/>
    </row>
    <row r="172" spans="2:18" ht="14.4" x14ac:dyDescent="0.25">
      <c r="B172" s="277" t="s">
        <v>613</v>
      </c>
      <c r="C172" s="150">
        <v>8.27</v>
      </c>
      <c r="D172" s="131">
        <v>11.51</v>
      </c>
      <c r="E172" s="33">
        <v>1</v>
      </c>
      <c r="F172" s="131"/>
      <c r="G172" s="131"/>
      <c r="H172" s="131"/>
      <c r="I172" s="46"/>
      <c r="J172" s="46"/>
      <c r="K172" s="46"/>
      <c r="L172" s="46"/>
      <c r="M172" s="136"/>
      <c r="N172" s="63"/>
      <c r="O172" s="63"/>
      <c r="P172" s="63"/>
      <c r="Q172" s="214"/>
    </row>
    <row r="173" spans="2:18" ht="19.95" customHeight="1" x14ac:dyDescent="0.25">
      <c r="B173" s="134" t="s">
        <v>22</v>
      </c>
      <c r="C173" s="127">
        <f>SUM(C94:C172)</f>
        <v>1083.4099999999996</v>
      </c>
      <c r="D173" s="127"/>
      <c r="E173" s="127"/>
      <c r="F173" s="127"/>
      <c r="G173" s="127">
        <f t="shared" ref="G173:Q173" si="69">SUM(G94:G172)</f>
        <v>0</v>
      </c>
      <c r="H173" s="127">
        <f t="shared" si="69"/>
        <v>0</v>
      </c>
      <c r="I173" s="127">
        <f t="shared" si="69"/>
        <v>715.0300000000002</v>
      </c>
      <c r="J173" s="127">
        <f t="shared" si="69"/>
        <v>46.790000000000006</v>
      </c>
      <c r="K173" s="127">
        <f t="shared" si="69"/>
        <v>138.07</v>
      </c>
      <c r="L173" s="127">
        <f t="shared" si="69"/>
        <v>16.43</v>
      </c>
      <c r="M173" s="127">
        <f t="shared" si="69"/>
        <v>129.69</v>
      </c>
      <c r="N173" s="127">
        <f t="shared" si="69"/>
        <v>0</v>
      </c>
      <c r="O173" s="127">
        <f t="shared" si="69"/>
        <v>32.79</v>
      </c>
      <c r="P173" s="127">
        <f t="shared" si="69"/>
        <v>922.74000000000035</v>
      </c>
      <c r="Q173" s="127">
        <f t="shared" si="69"/>
        <v>922.74000000000035</v>
      </c>
      <c r="R173" s="1"/>
    </row>
    <row r="174" spans="2:18" ht="19.95" customHeight="1" x14ac:dyDescent="0.25">
      <c r="B174" s="271"/>
      <c r="C174" s="272"/>
      <c r="D174" s="272"/>
      <c r="E174" s="127"/>
      <c r="F174" s="127"/>
      <c r="G174" s="127"/>
      <c r="H174" s="127"/>
      <c r="I174" s="258">
        <v>1</v>
      </c>
      <c r="J174" s="258">
        <v>2</v>
      </c>
      <c r="K174" s="224">
        <v>3</v>
      </c>
      <c r="L174" s="224">
        <v>4</v>
      </c>
      <c r="M174" s="224">
        <v>6</v>
      </c>
      <c r="N174" s="224">
        <v>7</v>
      </c>
      <c r="O174" s="224">
        <v>5</v>
      </c>
      <c r="P174" s="218" t="s">
        <v>194</v>
      </c>
      <c r="Q174" s="255"/>
      <c r="R174" s="1"/>
    </row>
    <row r="175" spans="2:18" ht="40.049999999999997" customHeight="1" x14ac:dyDescent="0.25">
      <c r="B175" s="852" t="s">
        <v>16</v>
      </c>
      <c r="C175" s="838" t="s">
        <v>17</v>
      </c>
      <c r="D175" s="838" t="s">
        <v>18</v>
      </c>
      <c r="E175" s="838" t="s">
        <v>19</v>
      </c>
      <c r="F175" s="842" t="s">
        <v>13</v>
      </c>
      <c r="G175" s="842" t="s">
        <v>24</v>
      </c>
      <c r="H175" s="842" t="s">
        <v>25</v>
      </c>
      <c r="I175" s="842" t="s">
        <v>82</v>
      </c>
      <c r="J175" s="842" t="s">
        <v>83</v>
      </c>
      <c r="K175" s="838" t="s">
        <v>84</v>
      </c>
      <c r="L175" s="838" t="s">
        <v>85</v>
      </c>
      <c r="M175" s="838" t="s">
        <v>86</v>
      </c>
      <c r="N175" s="848" t="s">
        <v>87</v>
      </c>
      <c r="O175" s="848" t="s">
        <v>88</v>
      </c>
      <c r="P175" s="848" t="s">
        <v>193</v>
      </c>
      <c r="Q175" s="848" t="s">
        <v>192</v>
      </c>
    </row>
    <row r="176" spans="2:18" ht="40.049999999999997" customHeight="1" x14ac:dyDescent="0.25">
      <c r="B176" s="843"/>
      <c r="C176" s="839"/>
      <c r="D176" s="839"/>
      <c r="E176" s="839"/>
      <c r="F176" s="842"/>
      <c r="G176" s="839"/>
      <c r="H176" s="839"/>
      <c r="I176" s="839"/>
      <c r="J176" s="839"/>
      <c r="K176" s="839"/>
      <c r="L176" s="839"/>
      <c r="M176" s="839"/>
      <c r="N176" s="849"/>
      <c r="O176" s="849"/>
      <c r="P176" s="849"/>
      <c r="Q176" s="849"/>
    </row>
    <row r="177" spans="1:18" ht="15.6" x14ac:dyDescent="0.25">
      <c r="A177" s="141" t="s">
        <v>89</v>
      </c>
      <c r="B177" s="59" t="s">
        <v>59</v>
      </c>
      <c r="C177" s="60"/>
      <c r="D177" s="60"/>
      <c r="E177" s="60"/>
      <c r="F177" s="60"/>
      <c r="G177" s="60"/>
      <c r="H177" s="60"/>
      <c r="I177" s="58"/>
      <c r="J177" s="58"/>
      <c r="K177" s="58"/>
      <c r="L177" s="58"/>
      <c r="M177" s="57"/>
      <c r="N177" s="61"/>
      <c r="O177" s="61"/>
      <c r="P177" s="61"/>
      <c r="Q177" s="61"/>
      <c r="R177" s="1"/>
    </row>
    <row r="178" spans="1:18" ht="14.4" x14ac:dyDescent="0.25">
      <c r="A178" s="141"/>
      <c r="B178" s="220" t="s">
        <v>168</v>
      </c>
      <c r="C178" s="603">
        <v>11.67</v>
      </c>
      <c r="D178" s="576">
        <v>14.83</v>
      </c>
      <c r="E178" s="33">
        <v>1</v>
      </c>
      <c r="F178" s="574"/>
      <c r="G178" s="574"/>
      <c r="H178" s="574"/>
      <c r="I178" s="580"/>
      <c r="J178" s="580"/>
      <c r="K178" s="606">
        <f>C178*E178</f>
        <v>11.67</v>
      </c>
      <c r="L178" s="580"/>
      <c r="M178" s="581"/>
      <c r="N178" s="582"/>
      <c r="O178" s="582"/>
      <c r="P178" s="582"/>
      <c r="Q178" s="582"/>
    </row>
    <row r="179" spans="1:18" ht="14.4" x14ac:dyDescent="0.25">
      <c r="A179" s="141"/>
      <c r="B179" s="220" t="s">
        <v>258</v>
      </c>
      <c r="C179" s="603">
        <v>30.52</v>
      </c>
      <c r="D179" s="576">
        <v>25.97</v>
      </c>
      <c r="E179" s="33">
        <v>1</v>
      </c>
      <c r="F179" s="574"/>
      <c r="G179" s="574"/>
      <c r="H179" s="574"/>
      <c r="I179" s="580"/>
      <c r="J179" s="580"/>
      <c r="K179" s="606">
        <f>C179*E179</f>
        <v>30.52</v>
      </c>
      <c r="L179" s="580"/>
      <c r="M179" s="581"/>
      <c r="N179" s="582"/>
      <c r="O179" s="582"/>
      <c r="P179" s="582"/>
      <c r="Q179" s="582"/>
    </row>
    <row r="180" spans="1:18" ht="14.4" x14ac:dyDescent="0.25">
      <c r="A180" s="141"/>
      <c r="B180" s="157" t="s">
        <v>346</v>
      </c>
      <c r="C180" s="566">
        <v>43.48</v>
      </c>
      <c r="D180" s="576">
        <v>27.85</v>
      </c>
      <c r="E180" s="33">
        <v>1</v>
      </c>
      <c r="F180" s="574"/>
      <c r="G180" s="574"/>
      <c r="H180" s="574"/>
      <c r="I180" s="580"/>
      <c r="J180" s="580"/>
      <c r="K180" s="580"/>
      <c r="L180" s="580"/>
      <c r="M180" s="581"/>
      <c r="N180" s="582"/>
      <c r="O180" s="528">
        <f>C180*E180</f>
        <v>43.48</v>
      </c>
      <c r="P180" s="582"/>
      <c r="Q180" s="582"/>
    </row>
    <row r="181" spans="1:18" ht="14.4" x14ac:dyDescent="0.25">
      <c r="A181" s="141"/>
      <c r="B181" s="157" t="s">
        <v>724</v>
      </c>
      <c r="C181" s="566">
        <v>7.45</v>
      </c>
      <c r="D181" s="576">
        <v>10.93</v>
      </c>
      <c r="E181" s="33">
        <v>1</v>
      </c>
      <c r="F181" s="574"/>
      <c r="G181" s="574"/>
      <c r="H181" s="574"/>
      <c r="I181" s="580"/>
      <c r="J181" s="580"/>
      <c r="K181" s="580"/>
      <c r="L181" s="580"/>
      <c r="M181" s="581"/>
      <c r="N181" s="582"/>
      <c r="O181" s="582"/>
      <c r="P181" s="582"/>
      <c r="Q181" s="582"/>
    </row>
    <row r="182" spans="1:18" ht="14.4" x14ac:dyDescent="0.25">
      <c r="A182" s="141"/>
      <c r="B182" s="157" t="s">
        <v>725</v>
      </c>
      <c r="C182" s="566">
        <v>8.23</v>
      </c>
      <c r="D182" s="576">
        <v>11.56</v>
      </c>
      <c r="E182" s="33">
        <v>1</v>
      </c>
      <c r="F182" s="574"/>
      <c r="G182" s="574"/>
      <c r="H182" s="574"/>
      <c r="I182" s="580"/>
      <c r="J182" s="580"/>
      <c r="K182" s="580"/>
      <c r="L182" s="580"/>
      <c r="M182" s="581"/>
      <c r="N182" s="582"/>
      <c r="O182" s="582"/>
      <c r="P182" s="582"/>
      <c r="Q182" s="582"/>
    </row>
    <row r="183" spans="1:18" ht="14.4" x14ac:dyDescent="0.25">
      <c r="A183" s="141"/>
      <c r="B183" s="157" t="s">
        <v>726</v>
      </c>
      <c r="C183" s="186">
        <v>3.9</v>
      </c>
      <c r="D183" s="576">
        <v>8.33</v>
      </c>
      <c r="E183" s="33">
        <v>1</v>
      </c>
      <c r="F183" s="574"/>
      <c r="G183" s="574"/>
      <c r="H183" s="574"/>
      <c r="I183" s="580"/>
      <c r="J183" s="580"/>
      <c r="K183" s="580"/>
      <c r="L183" s="580"/>
      <c r="M183" s="581"/>
      <c r="N183" s="582"/>
      <c r="O183" s="582"/>
      <c r="P183" s="582"/>
      <c r="Q183" s="582"/>
    </row>
    <row r="184" spans="1:18" ht="14.4" x14ac:dyDescent="0.25">
      <c r="B184" s="220" t="s">
        <v>168</v>
      </c>
      <c r="C184" s="222">
        <v>58.2</v>
      </c>
      <c r="D184" s="131">
        <f>64.72</f>
        <v>64.72</v>
      </c>
      <c r="E184" s="33">
        <v>1</v>
      </c>
      <c r="F184" s="131"/>
      <c r="G184" s="131"/>
      <c r="H184" s="131"/>
      <c r="I184" s="46">
        <f>C184*E184</f>
        <v>58.2</v>
      </c>
      <c r="J184" s="46"/>
      <c r="K184" s="46"/>
      <c r="L184" s="46"/>
      <c r="M184" s="136"/>
      <c r="N184" s="63"/>
      <c r="O184" s="63"/>
      <c r="P184" s="63">
        <f t="shared" ref="P184:P185" si="70">D184*E184</f>
        <v>64.72</v>
      </c>
      <c r="Q184" s="214">
        <f t="shared" ref="Q184:Q185" si="71">D184*E184</f>
        <v>64.72</v>
      </c>
    </row>
    <row r="185" spans="1:18" ht="14.4" x14ac:dyDescent="0.25">
      <c r="B185" s="220" t="s">
        <v>168</v>
      </c>
      <c r="C185" s="222">
        <v>26.54</v>
      </c>
      <c r="D185" s="131">
        <f>31.36</f>
        <v>31.36</v>
      </c>
      <c r="E185" s="33">
        <v>1</v>
      </c>
      <c r="F185" s="131"/>
      <c r="G185" s="131"/>
      <c r="H185" s="131"/>
      <c r="I185" s="46">
        <f>C185*E185</f>
        <v>26.54</v>
      </c>
      <c r="J185" s="46"/>
      <c r="K185" s="46"/>
      <c r="L185" s="46"/>
      <c r="M185" s="136"/>
      <c r="N185" s="63"/>
      <c r="O185" s="63"/>
      <c r="P185" s="63">
        <f t="shared" si="70"/>
        <v>31.36</v>
      </c>
      <c r="Q185" s="214">
        <f t="shared" si="71"/>
        <v>31.36</v>
      </c>
    </row>
    <row r="186" spans="1:18" ht="14.4" x14ac:dyDescent="0.25">
      <c r="B186" s="157" t="s">
        <v>168</v>
      </c>
      <c r="C186" s="73">
        <v>50.01</v>
      </c>
      <c r="D186" s="131">
        <v>85.02</v>
      </c>
      <c r="E186" s="33">
        <v>1</v>
      </c>
      <c r="F186" s="131"/>
      <c r="G186" s="131"/>
      <c r="H186" s="131"/>
      <c r="I186" s="46"/>
      <c r="J186" s="46"/>
      <c r="K186" s="46">
        <f>C186*E186</f>
        <v>50.01</v>
      </c>
      <c r="L186" s="46"/>
      <c r="M186" s="136"/>
      <c r="N186" s="63"/>
      <c r="O186" s="63"/>
      <c r="P186" s="63"/>
      <c r="Q186" s="223"/>
    </row>
    <row r="187" spans="1:18" ht="14.4" x14ac:dyDescent="0.25">
      <c r="B187" s="15" t="s">
        <v>227</v>
      </c>
      <c r="C187" s="73">
        <v>2.0699999999999998</v>
      </c>
      <c r="D187" s="131">
        <v>5.76</v>
      </c>
      <c r="E187" s="33">
        <v>1</v>
      </c>
      <c r="F187" s="131"/>
      <c r="G187" s="131"/>
      <c r="H187" s="131"/>
      <c r="I187" s="46"/>
      <c r="J187" s="46">
        <f>C187*E187</f>
        <v>2.0699999999999998</v>
      </c>
      <c r="K187" s="46"/>
      <c r="L187" s="46"/>
      <c r="M187" s="136"/>
      <c r="N187" s="63"/>
      <c r="O187" s="63"/>
      <c r="P187" s="63">
        <f>D187*E187</f>
        <v>5.76</v>
      </c>
      <c r="Q187" s="214">
        <f t="shared" ref="Q187:Q189" si="72">D187*E187</f>
        <v>5.76</v>
      </c>
    </row>
    <row r="188" spans="1:18" ht="14.4" x14ac:dyDescent="0.25">
      <c r="B188" s="15" t="s">
        <v>230</v>
      </c>
      <c r="C188" s="73">
        <v>2.0699999999999998</v>
      </c>
      <c r="D188" s="131">
        <v>5.76</v>
      </c>
      <c r="E188" s="33">
        <v>1</v>
      </c>
      <c r="F188" s="131"/>
      <c r="G188" s="131"/>
      <c r="H188" s="131"/>
      <c r="I188" s="46"/>
      <c r="J188" s="46">
        <f>C188*E188</f>
        <v>2.0699999999999998</v>
      </c>
      <c r="K188" s="46"/>
      <c r="L188" s="46"/>
      <c r="M188" s="136"/>
      <c r="N188" s="63"/>
      <c r="O188" s="63"/>
      <c r="P188" s="63">
        <f t="shared" ref="P188:P189" si="73">D188*E188</f>
        <v>5.76</v>
      </c>
      <c r="Q188" s="214">
        <f t="shared" si="72"/>
        <v>5.76</v>
      </c>
    </row>
    <row r="189" spans="1:18" ht="14.4" x14ac:dyDescent="0.25">
      <c r="B189" s="220" t="s">
        <v>158</v>
      </c>
      <c r="C189" s="222">
        <v>2.1800000000000002</v>
      </c>
      <c r="D189" s="131">
        <v>5.91</v>
      </c>
      <c r="E189" s="33">
        <v>1</v>
      </c>
      <c r="F189" s="131"/>
      <c r="G189" s="131"/>
      <c r="H189" s="131"/>
      <c r="I189" s="46"/>
      <c r="J189" s="46">
        <f>C189*E189</f>
        <v>2.1800000000000002</v>
      </c>
      <c r="K189" s="46"/>
      <c r="L189" s="46"/>
      <c r="M189" s="136"/>
      <c r="N189" s="63"/>
      <c r="O189" s="63"/>
      <c r="P189" s="63">
        <f t="shared" si="73"/>
        <v>5.91</v>
      </c>
      <c r="Q189" s="214">
        <f t="shared" si="72"/>
        <v>5.91</v>
      </c>
    </row>
    <row r="190" spans="1:18" ht="14.4" x14ac:dyDescent="0.25">
      <c r="B190" s="15" t="s">
        <v>229</v>
      </c>
      <c r="C190" s="73">
        <v>0.46</v>
      </c>
      <c r="D190" s="131">
        <v>3.85</v>
      </c>
      <c r="E190" s="33">
        <v>1</v>
      </c>
      <c r="F190" s="131"/>
      <c r="G190" s="131"/>
      <c r="H190" s="131"/>
      <c r="I190" s="46"/>
      <c r="J190" s="46"/>
      <c r="K190" s="46"/>
      <c r="L190" s="46"/>
      <c r="M190" s="136"/>
      <c r="N190" s="63"/>
      <c r="O190" s="63"/>
      <c r="P190" s="63"/>
      <c r="Q190" s="223"/>
    </row>
    <row r="191" spans="1:18" ht="14.4" x14ac:dyDescent="0.25">
      <c r="B191" s="15" t="s">
        <v>229</v>
      </c>
      <c r="C191" s="73">
        <v>3.03</v>
      </c>
      <c r="D191" s="131">
        <v>8.51</v>
      </c>
      <c r="E191" s="33">
        <v>1</v>
      </c>
      <c r="F191" s="131"/>
      <c r="G191" s="131"/>
      <c r="H191" s="131"/>
      <c r="I191" s="46"/>
      <c r="J191" s="46"/>
      <c r="K191" s="46"/>
      <c r="L191" s="46"/>
      <c r="M191" s="136"/>
      <c r="N191" s="63"/>
      <c r="O191" s="63"/>
      <c r="P191" s="63"/>
      <c r="Q191" s="223"/>
    </row>
    <row r="192" spans="1:18" ht="14.4" x14ac:dyDescent="0.25">
      <c r="B192" s="220" t="s">
        <v>231</v>
      </c>
      <c r="C192" s="222">
        <v>121.08</v>
      </c>
      <c r="D192" s="131">
        <f>68.68</f>
        <v>68.680000000000007</v>
      </c>
      <c r="E192" s="33">
        <v>1</v>
      </c>
      <c r="F192" s="131"/>
      <c r="G192" s="131"/>
      <c r="H192" s="131"/>
      <c r="I192" s="46">
        <f>C192*E192</f>
        <v>121.08</v>
      </c>
      <c r="J192" s="46"/>
      <c r="K192" s="46"/>
      <c r="L192" s="46"/>
      <c r="M192" s="136"/>
      <c r="N192" s="63"/>
      <c r="O192" s="63"/>
      <c r="P192" s="63">
        <f t="shared" ref="P192" si="74">D192*E192</f>
        <v>68.680000000000007</v>
      </c>
      <c r="Q192" s="214">
        <f t="shared" ref="Q192" si="75">D192*E192</f>
        <v>68.680000000000007</v>
      </c>
    </row>
    <row r="193" spans="2:17" ht="14.4" x14ac:dyDescent="0.25">
      <c r="B193" s="157" t="s">
        <v>231</v>
      </c>
      <c r="C193" s="73">
        <v>24.6</v>
      </c>
      <c r="D193" s="131">
        <v>20</v>
      </c>
      <c r="E193" s="33">
        <v>1</v>
      </c>
      <c r="F193" s="131"/>
      <c r="G193" s="131"/>
      <c r="H193" s="131"/>
      <c r="I193" s="46"/>
      <c r="J193" s="46"/>
      <c r="K193" s="46"/>
      <c r="L193" s="46">
        <f>C193*E193</f>
        <v>24.6</v>
      </c>
      <c r="M193" s="136"/>
      <c r="N193" s="63"/>
      <c r="O193" s="63"/>
      <c r="P193" s="63"/>
      <c r="Q193" s="223"/>
    </row>
    <row r="194" spans="2:17" ht="14.4" x14ac:dyDescent="0.25">
      <c r="B194" s="15" t="s">
        <v>177</v>
      </c>
      <c r="C194" s="73">
        <v>7.71</v>
      </c>
      <c r="D194" s="131">
        <v>12.07</v>
      </c>
      <c r="E194" s="33">
        <v>1</v>
      </c>
      <c r="F194" s="131"/>
      <c r="G194" s="131"/>
      <c r="H194" s="131"/>
      <c r="I194" s="46"/>
      <c r="J194" s="46"/>
      <c r="K194" s="46"/>
      <c r="L194" s="46"/>
      <c r="M194" s="136"/>
      <c r="N194" s="63"/>
      <c r="O194" s="63">
        <f>C194*E194</f>
        <v>7.71</v>
      </c>
      <c r="P194" s="63"/>
      <c r="Q194" s="223"/>
    </row>
    <row r="195" spans="2:17" ht="14.4" x14ac:dyDescent="0.25">
      <c r="B195" s="220" t="s">
        <v>168</v>
      </c>
      <c r="C195" s="222">
        <v>8.4</v>
      </c>
      <c r="D195" s="131">
        <f>14.2</f>
        <v>14.2</v>
      </c>
      <c r="E195" s="33">
        <v>1</v>
      </c>
      <c r="F195" s="131"/>
      <c r="G195" s="131"/>
      <c r="H195" s="131"/>
      <c r="I195" s="46">
        <f>C195*E195</f>
        <v>8.4</v>
      </c>
      <c r="J195" s="46"/>
      <c r="K195" s="46"/>
      <c r="L195" s="46"/>
      <c r="M195" s="136"/>
      <c r="N195" s="63"/>
      <c r="O195" s="63"/>
      <c r="P195" s="63">
        <f t="shared" ref="P195" si="76">D195*E195</f>
        <v>14.2</v>
      </c>
      <c r="Q195" s="214">
        <f t="shared" ref="Q195" si="77">D195*E195</f>
        <v>14.2</v>
      </c>
    </row>
    <row r="196" spans="2:17" ht="14.4" x14ac:dyDescent="0.25">
      <c r="B196" s="220" t="s">
        <v>232</v>
      </c>
      <c r="C196" s="222">
        <v>7.35</v>
      </c>
      <c r="D196" s="131">
        <v>7.9</v>
      </c>
      <c r="E196" s="33">
        <v>2</v>
      </c>
      <c r="F196" s="131"/>
      <c r="G196" s="131"/>
      <c r="H196" s="131"/>
      <c r="I196" s="46"/>
      <c r="J196" s="46">
        <f>C196*E196</f>
        <v>14.7</v>
      </c>
      <c r="K196" s="46"/>
      <c r="L196" s="46"/>
      <c r="M196" s="136"/>
      <c r="N196" s="63"/>
      <c r="O196" s="63"/>
      <c r="P196" s="63">
        <f t="shared" ref="P196:P205" si="78">D196*E196</f>
        <v>15.8</v>
      </c>
      <c r="Q196" s="214">
        <f t="shared" ref="Q196:Q205" si="79">D196*E196</f>
        <v>15.8</v>
      </c>
    </row>
    <row r="197" spans="2:17" ht="14.4" x14ac:dyDescent="0.25">
      <c r="B197" s="15" t="s">
        <v>233</v>
      </c>
      <c r="C197" s="73">
        <v>4.82</v>
      </c>
      <c r="D197" s="131">
        <v>9.27</v>
      </c>
      <c r="E197" s="33">
        <v>1</v>
      </c>
      <c r="F197" s="131"/>
      <c r="G197" s="131"/>
      <c r="H197" s="131"/>
      <c r="I197" s="46">
        <f>C197*E197</f>
        <v>4.82</v>
      </c>
      <c r="J197" s="46"/>
      <c r="K197" s="46"/>
      <c r="L197" s="46"/>
      <c r="M197" s="136"/>
      <c r="N197" s="63"/>
      <c r="O197" s="63"/>
      <c r="P197" s="63">
        <f t="shared" si="78"/>
        <v>9.27</v>
      </c>
      <c r="Q197" s="214">
        <f t="shared" si="79"/>
        <v>9.27</v>
      </c>
    </row>
    <row r="198" spans="2:17" ht="14.4" x14ac:dyDescent="0.25">
      <c r="B198" s="15" t="s">
        <v>189</v>
      </c>
      <c r="C198" s="73">
        <v>3.15</v>
      </c>
      <c r="D198" s="131">
        <v>7.15</v>
      </c>
      <c r="E198" s="33">
        <v>1</v>
      </c>
      <c r="F198" s="131"/>
      <c r="G198" s="131"/>
      <c r="H198" s="131"/>
      <c r="I198" s="46"/>
      <c r="J198" s="46">
        <f>C198*E198</f>
        <v>3.15</v>
      </c>
      <c r="K198" s="46"/>
      <c r="L198" s="46"/>
      <c r="M198" s="136"/>
      <c r="N198" s="63"/>
      <c r="O198" s="63"/>
      <c r="P198" s="63">
        <f t="shared" si="78"/>
        <v>7.15</v>
      </c>
      <c r="Q198" s="214">
        <f t="shared" si="79"/>
        <v>7.15</v>
      </c>
    </row>
    <row r="199" spans="2:17" ht="14.4" x14ac:dyDescent="0.25">
      <c r="B199" s="15" t="s">
        <v>234</v>
      </c>
      <c r="C199" s="73">
        <v>103.83</v>
      </c>
      <c r="D199" s="131">
        <v>48.85</v>
      </c>
      <c r="E199" s="33">
        <v>1</v>
      </c>
      <c r="F199" s="131"/>
      <c r="G199" s="131"/>
      <c r="H199" s="131"/>
      <c r="I199" s="46">
        <f>C199*E199</f>
        <v>103.83</v>
      </c>
      <c r="J199" s="46"/>
      <c r="K199" s="46"/>
      <c r="L199" s="46"/>
      <c r="M199" s="136"/>
      <c r="N199" s="63"/>
      <c r="O199" s="63"/>
      <c r="P199" s="63">
        <f t="shared" si="78"/>
        <v>48.85</v>
      </c>
      <c r="Q199" s="214">
        <f t="shared" si="79"/>
        <v>48.85</v>
      </c>
    </row>
    <row r="200" spans="2:17" ht="14.4" x14ac:dyDescent="0.25">
      <c r="B200" s="15" t="s">
        <v>234</v>
      </c>
      <c r="C200" s="73">
        <v>59.74</v>
      </c>
      <c r="D200" s="131">
        <v>32.5</v>
      </c>
      <c r="E200" s="33">
        <v>1</v>
      </c>
      <c r="F200" s="131"/>
      <c r="G200" s="131"/>
      <c r="H200" s="131"/>
      <c r="I200" s="46"/>
      <c r="J200" s="46"/>
      <c r="K200" s="46"/>
      <c r="L200" s="46"/>
      <c r="M200" s="136">
        <f>C200*E200</f>
        <v>59.74</v>
      </c>
      <c r="N200" s="63"/>
      <c r="O200" s="63"/>
      <c r="P200" s="63">
        <f t="shared" si="78"/>
        <v>32.5</v>
      </c>
      <c r="Q200" s="214">
        <f t="shared" si="79"/>
        <v>32.5</v>
      </c>
    </row>
    <row r="201" spans="2:17" ht="14.4" x14ac:dyDescent="0.25">
      <c r="B201" s="15" t="s">
        <v>235</v>
      </c>
      <c r="C201" s="73">
        <v>4.4000000000000004</v>
      </c>
      <c r="D201" s="131">
        <v>7.4</v>
      </c>
      <c r="E201" s="33">
        <v>1</v>
      </c>
      <c r="F201" s="131"/>
      <c r="G201" s="131"/>
      <c r="H201" s="131"/>
      <c r="I201" s="46">
        <f>C201*E201</f>
        <v>4.4000000000000004</v>
      </c>
      <c r="J201" s="46"/>
      <c r="K201" s="46"/>
      <c r="L201" s="46"/>
      <c r="M201" s="136"/>
      <c r="N201" s="63"/>
      <c r="O201" s="63"/>
      <c r="P201" s="63">
        <f t="shared" si="78"/>
        <v>7.4</v>
      </c>
      <c r="Q201" s="214">
        <f t="shared" si="79"/>
        <v>7.4</v>
      </c>
    </row>
    <row r="202" spans="2:17" ht="14.4" x14ac:dyDescent="0.25">
      <c r="B202" s="220" t="s">
        <v>236</v>
      </c>
      <c r="C202" s="222">
        <v>41.14</v>
      </c>
      <c r="D202" s="131">
        <v>26.39</v>
      </c>
      <c r="E202" s="33">
        <v>1</v>
      </c>
      <c r="F202" s="131"/>
      <c r="G202" s="131"/>
      <c r="H202" s="131"/>
      <c r="I202" s="46">
        <f>C202*E202</f>
        <v>41.14</v>
      </c>
      <c r="J202" s="46"/>
      <c r="K202" s="46"/>
      <c r="L202" s="46"/>
      <c r="M202" s="136"/>
      <c r="N202" s="63"/>
      <c r="O202" s="63"/>
      <c r="P202" s="63">
        <f t="shared" si="78"/>
        <v>26.39</v>
      </c>
      <c r="Q202" s="214">
        <f t="shared" si="79"/>
        <v>26.39</v>
      </c>
    </row>
    <row r="203" spans="2:17" ht="14.4" x14ac:dyDescent="0.25">
      <c r="B203" s="157" t="s">
        <v>236</v>
      </c>
      <c r="C203" s="73">
        <v>27.38</v>
      </c>
      <c r="D203" s="131">
        <v>21.26</v>
      </c>
      <c r="E203" s="33">
        <v>1</v>
      </c>
      <c r="F203" s="131"/>
      <c r="G203" s="131"/>
      <c r="H203" s="131"/>
      <c r="I203" s="46"/>
      <c r="J203" s="46"/>
      <c r="K203" s="46"/>
      <c r="L203" s="46"/>
      <c r="M203" s="136">
        <f t="shared" ref="M203:M205" si="80">C203*E203</f>
        <v>27.38</v>
      </c>
      <c r="N203" s="63"/>
      <c r="O203" s="63"/>
      <c r="P203" s="63">
        <f t="shared" si="78"/>
        <v>21.26</v>
      </c>
      <c r="Q203" s="214">
        <f t="shared" si="79"/>
        <v>21.26</v>
      </c>
    </row>
    <row r="204" spans="2:17" ht="14.4" x14ac:dyDescent="0.25">
      <c r="B204" s="220" t="s">
        <v>236</v>
      </c>
      <c r="C204" s="222">
        <v>41.06</v>
      </c>
      <c r="D204" s="131">
        <v>28.9</v>
      </c>
      <c r="E204" s="33">
        <v>1</v>
      </c>
      <c r="F204" s="131"/>
      <c r="G204" s="131"/>
      <c r="H204" s="131"/>
      <c r="I204" s="46">
        <f>C204*E204</f>
        <v>41.06</v>
      </c>
      <c r="J204" s="46"/>
      <c r="K204" s="46"/>
      <c r="L204" s="46"/>
      <c r="M204" s="136"/>
      <c r="N204" s="63"/>
      <c r="O204" s="63"/>
      <c r="P204" s="63">
        <f t="shared" si="78"/>
        <v>28.9</v>
      </c>
      <c r="Q204" s="214">
        <f t="shared" si="79"/>
        <v>28.9</v>
      </c>
    </row>
    <row r="205" spans="2:17" ht="14.4" x14ac:dyDescent="0.25">
      <c r="B205" s="157" t="s">
        <v>236</v>
      </c>
      <c r="C205" s="73">
        <v>27.38</v>
      </c>
      <c r="D205" s="131">
        <v>21.26</v>
      </c>
      <c r="E205" s="33">
        <v>1</v>
      </c>
      <c r="F205" s="131"/>
      <c r="G205" s="131"/>
      <c r="H205" s="131"/>
      <c r="I205" s="46"/>
      <c r="J205" s="46"/>
      <c r="K205" s="46"/>
      <c r="L205" s="46"/>
      <c r="M205" s="136">
        <f t="shared" si="80"/>
        <v>27.38</v>
      </c>
      <c r="N205" s="63"/>
      <c r="O205" s="63"/>
      <c r="P205" s="63">
        <f t="shared" si="78"/>
        <v>21.26</v>
      </c>
      <c r="Q205" s="214">
        <f t="shared" si="79"/>
        <v>21.26</v>
      </c>
    </row>
    <row r="206" spans="2:17" ht="14.4" x14ac:dyDescent="0.25">
      <c r="B206" s="220" t="s">
        <v>237</v>
      </c>
      <c r="C206" s="222">
        <v>27.52</v>
      </c>
      <c r="D206" s="131">
        <f>21.45</f>
        <v>21.45</v>
      </c>
      <c r="E206" s="33">
        <v>1</v>
      </c>
      <c r="F206" s="131"/>
      <c r="G206" s="131"/>
      <c r="H206" s="131"/>
      <c r="I206" s="46">
        <f>C206*E206</f>
        <v>27.52</v>
      </c>
      <c r="J206" s="46"/>
      <c r="K206" s="46"/>
      <c r="L206" s="46"/>
      <c r="M206" s="136"/>
      <c r="N206" s="63"/>
      <c r="O206" s="63"/>
      <c r="P206" s="63">
        <f t="shared" ref="P206" si="81">D206*E206</f>
        <v>21.45</v>
      </c>
      <c r="Q206" s="214">
        <f t="shared" ref="Q206" si="82">D206*E206</f>
        <v>21.45</v>
      </c>
    </row>
    <row r="207" spans="2:17" ht="14.4" x14ac:dyDescent="0.25">
      <c r="B207" s="157" t="s">
        <v>237</v>
      </c>
      <c r="C207" s="73">
        <v>16.420000000000002</v>
      </c>
      <c r="D207" s="131">
        <v>16.260000000000002</v>
      </c>
      <c r="E207" s="33">
        <v>1</v>
      </c>
      <c r="F207" s="131"/>
      <c r="G207" s="131"/>
      <c r="H207" s="131"/>
      <c r="I207" s="46"/>
      <c r="J207" s="46"/>
      <c r="K207" s="46"/>
      <c r="L207" s="46">
        <f>C207*E207</f>
        <v>16.420000000000002</v>
      </c>
      <c r="M207" s="136"/>
      <c r="N207" s="63"/>
      <c r="O207" s="63"/>
      <c r="P207" s="63"/>
      <c r="Q207" s="223"/>
    </row>
    <row r="208" spans="2:17" ht="14.4" x14ac:dyDescent="0.25">
      <c r="B208" s="15" t="s">
        <v>168</v>
      </c>
      <c r="C208" s="73">
        <v>3.65</v>
      </c>
      <c r="D208" s="131">
        <f>8.48</f>
        <v>8.48</v>
      </c>
      <c r="E208" s="33">
        <v>1</v>
      </c>
      <c r="F208" s="131"/>
      <c r="G208" s="131"/>
      <c r="H208" s="131"/>
      <c r="I208" s="46">
        <f>C208*E208</f>
        <v>3.65</v>
      </c>
      <c r="J208" s="46"/>
      <c r="K208" s="46"/>
      <c r="L208" s="46"/>
      <c r="M208" s="136"/>
      <c r="N208" s="63"/>
      <c r="O208" s="63"/>
      <c r="P208" s="63">
        <f t="shared" ref="P208:P214" si="83">D208*E208</f>
        <v>8.48</v>
      </c>
      <c r="Q208" s="214">
        <f t="shared" ref="Q208:Q214" si="84">D208*E208</f>
        <v>8.48</v>
      </c>
    </row>
    <row r="209" spans="2:17" ht="14.4" x14ac:dyDescent="0.25">
      <c r="B209" s="220" t="s">
        <v>238</v>
      </c>
      <c r="C209" s="222">
        <v>30.7</v>
      </c>
      <c r="D209" s="131">
        <f>24.72</f>
        <v>24.72</v>
      </c>
      <c r="E209" s="33">
        <v>1</v>
      </c>
      <c r="F209" s="131"/>
      <c r="G209" s="131"/>
      <c r="H209" s="131"/>
      <c r="I209" s="46">
        <f>C209*E209</f>
        <v>30.7</v>
      </c>
      <c r="J209" s="46"/>
      <c r="K209" s="46"/>
      <c r="L209" s="46"/>
      <c r="M209" s="136"/>
      <c r="N209" s="63"/>
      <c r="O209" s="63"/>
      <c r="P209" s="63">
        <f t="shared" si="83"/>
        <v>24.72</v>
      </c>
      <c r="Q209" s="214">
        <f t="shared" si="84"/>
        <v>24.72</v>
      </c>
    </row>
    <row r="210" spans="2:17" ht="14.4" x14ac:dyDescent="0.25">
      <c r="B210" s="15" t="s">
        <v>227</v>
      </c>
      <c r="C210" s="73">
        <v>2.17</v>
      </c>
      <c r="D210" s="131">
        <v>6.02</v>
      </c>
      <c r="E210" s="33">
        <v>1</v>
      </c>
      <c r="F210" s="131"/>
      <c r="G210" s="131"/>
      <c r="H210" s="131"/>
      <c r="I210" s="46"/>
      <c r="J210" s="46">
        <f>C210*E210</f>
        <v>2.17</v>
      </c>
      <c r="K210" s="46"/>
      <c r="L210" s="46"/>
      <c r="M210" s="136"/>
      <c r="N210" s="63"/>
      <c r="O210" s="63"/>
      <c r="P210" s="63">
        <f t="shared" si="83"/>
        <v>6.02</v>
      </c>
      <c r="Q210" s="214">
        <f t="shared" si="84"/>
        <v>6.02</v>
      </c>
    </row>
    <row r="211" spans="2:17" ht="14.4" x14ac:dyDescent="0.25">
      <c r="B211" s="15" t="s">
        <v>228</v>
      </c>
      <c r="C211" s="73">
        <v>2.16</v>
      </c>
      <c r="D211" s="131">
        <v>6</v>
      </c>
      <c r="E211" s="33">
        <v>1</v>
      </c>
      <c r="F211" s="131"/>
      <c r="G211" s="131"/>
      <c r="H211" s="131"/>
      <c r="I211" s="46"/>
      <c r="J211" s="46">
        <f>C211*E211</f>
        <v>2.16</v>
      </c>
      <c r="K211" s="46"/>
      <c r="L211" s="46"/>
      <c r="M211" s="136"/>
      <c r="N211" s="63"/>
      <c r="O211" s="63"/>
      <c r="P211" s="63">
        <f t="shared" si="83"/>
        <v>6</v>
      </c>
      <c r="Q211" s="214">
        <f t="shared" si="84"/>
        <v>6</v>
      </c>
    </row>
    <row r="212" spans="2:17" ht="14.4" x14ac:dyDescent="0.25">
      <c r="B212" s="220" t="s">
        <v>239</v>
      </c>
      <c r="C212" s="222">
        <v>6.05</v>
      </c>
      <c r="D212" s="131">
        <f>9.92</f>
        <v>9.92</v>
      </c>
      <c r="E212" s="33">
        <v>1</v>
      </c>
      <c r="F212" s="131"/>
      <c r="G212" s="131"/>
      <c r="H212" s="131"/>
      <c r="I212" s="46">
        <f t="shared" ref="I212:I213" si="85">C212*E212</f>
        <v>6.05</v>
      </c>
      <c r="J212" s="46"/>
      <c r="K212" s="46"/>
      <c r="L212" s="46"/>
      <c r="M212" s="136"/>
      <c r="N212" s="63"/>
      <c r="O212" s="63"/>
      <c r="P212" s="63">
        <f t="shared" si="83"/>
        <v>9.92</v>
      </c>
      <c r="Q212" s="214">
        <f t="shared" si="84"/>
        <v>9.92</v>
      </c>
    </row>
    <row r="213" spans="2:17" ht="14.4" x14ac:dyDescent="0.25">
      <c r="B213" s="220" t="s">
        <v>239</v>
      </c>
      <c r="C213" s="222">
        <v>5.18</v>
      </c>
      <c r="D213" s="131">
        <f>9.25</f>
        <v>9.25</v>
      </c>
      <c r="E213" s="33">
        <v>1</v>
      </c>
      <c r="F213" s="131"/>
      <c r="G213" s="131"/>
      <c r="H213" s="131"/>
      <c r="I213" s="46">
        <f t="shared" si="85"/>
        <v>5.18</v>
      </c>
      <c r="J213" s="46"/>
      <c r="K213" s="46"/>
      <c r="L213" s="46"/>
      <c r="M213" s="136"/>
      <c r="N213" s="63"/>
      <c r="O213" s="63"/>
      <c r="P213" s="63">
        <f t="shared" si="83"/>
        <v>9.25</v>
      </c>
      <c r="Q213" s="214">
        <f t="shared" si="84"/>
        <v>9.25</v>
      </c>
    </row>
    <row r="214" spans="2:17" ht="14.4" x14ac:dyDescent="0.25">
      <c r="B214" s="220" t="s">
        <v>240</v>
      </c>
      <c r="C214" s="222">
        <v>16.73</v>
      </c>
      <c r="D214" s="131">
        <f>18.65</f>
        <v>18.649999999999999</v>
      </c>
      <c r="E214" s="33">
        <v>1</v>
      </c>
      <c r="F214" s="131"/>
      <c r="G214" s="131"/>
      <c r="H214" s="131"/>
      <c r="I214" s="46">
        <f>C214*E214</f>
        <v>16.73</v>
      </c>
      <c r="J214" s="46"/>
      <c r="K214" s="46"/>
      <c r="L214" s="46"/>
      <c r="M214" s="136"/>
      <c r="N214" s="63"/>
      <c r="O214" s="63"/>
      <c r="P214" s="63">
        <f t="shared" si="83"/>
        <v>18.649999999999999</v>
      </c>
      <c r="Q214" s="214">
        <f t="shared" si="84"/>
        <v>18.649999999999999</v>
      </c>
    </row>
    <row r="215" spans="2:17" ht="14.4" x14ac:dyDescent="0.25">
      <c r="B215" s="15" t="s">
        <v>241</v>
      </c>
      <c r="C215" s="73">
        <v>39.880000000000003</v>
      </c>
      <c r="D215" s="131">
        <f>25.21</f>
        <v>25.21</v>
      </c>
      <c r="E215" s="33">
        <v>1</v>
      </c>
      <c r="F215" s="131"/>
      <c r="G215" s="131"/>
      <c r="H215" s="131"/>
      <c r="I215" s="46">
        <f>C215*E215</f>
        <v>39.880000000000003</v>
      </c>
      <c r="J215" s="46"/>
      <c r="K215" s="46"/>
      <c r="L215" s="46"/>
      <c r="M215" s="136"/>
      <c r="N215" s="63"/>
      <c r="O215" s="63"/>
      <c r="P215" s="63">
        <f t="shared" ref="P215" si="86">D215*E215</f>
        <v>25.21</v>
      </c>
      <c r="Q215" s="214">
        <f t="shared" ref="Q215" si="87">D215*E215</f>
        <v>25.21</v>
      </c>
    </row>
    <row r="216" spans="2:17" ht="14.4" x14ac:dyDescent="0.25">
      <c r="B216" s="15" t="s">
        <v>241</v>
      </c>
      <c r="C216" s="73">
        <v>24.6</v>
      </c>
      <c r="D216" s="131">
        <v>20</v>
      </c>
      <c r="E216" s="33">
        <v>1</v>
      </c>
      <c r="F216" s="131"/>
      <c r="G216" s="131"/>
      <c r="H216" s="131"/>
      <c r="I216" s="46"/>
      <c r="J216" s="46"/>
      <c r="K216" s="46"/>
      <c r="L216" s="46">
        <f>C216*E216</f>
        <v>24.6</v>
      </c>
      <c r="M216" s="136"/>
      <c r="N216" s="63"/>
      <c r="O216" s="63"/>
      <c r="P216" s="63"/>
      <c r="Q216" s="223"/>
    </row>
    <row r="217" spans="2:17" ht="14.4" x14ac:dyDescent="0.25">
      <c r="B217" s="15" t="s">
        <v>168</v>
      </c>
      <c r="C217" s="73">
        <v>7.62</v>
      </c>
      <c r="D217" s="131">
        <v>13.16</v>
      </c>
      <c r="E217" s="33">
        <v>1</v>
      </c>
      <c r="F217" s="131"/>
      <c r="G217" s="131"/>
      <c r="H217" s="131"/>
      <c r="I217" s="46">
        <f>C217*E217</f>
        <v>7.62</v>
      </c>
      <c r="J217" s="46"/>
      <c r="K217" s="46"/>
      <c r="L217" s="46"/>
      <c r="M217" s="136"/>
      <c r="N217" s="63"/>
      <c r="O217" s="63"/>
      <c r="P217" s="63">
        <f t="shared" ref="P217" si="88">D217*E217</f>
        <v>13.16</v>
      </c>
      <c r="Q217" s="214">
        <f t="shared" ref="Q217" si="89">D217*E217</f>
        <v>13.16</v>
      </c>
    </row>
    <row r="218" spans="2:17" ht="14.4" x14ac:dyDescent="0.25">
      <c r="B218" s="15" t="s">
        <v>168</v>
      </c>
      <c r="C218" s="73">
        <v>2.71</v>
      </c>
      <c r="D218" s="131">
        <v>9.98</v>
      </c>
      <c r="E218" s="33">
        <v>1</v>
      </c>
      <c r="F218" s="131"/>
      <c r="G218" s="131"/>
      <c r="H218" s="131"/>
      <c r="I218" s="46"/>
      <c r="J218" s="46"/>
      <c r="K218" s="46"/>
      <c r="L218" s="46">
        <f>C218*E218</f>
        <v>2.71</v>
      </c>
      <c r="M218" s="136"/>
      <c r="N218" s="63"/>
      <c r="O218" s="63"/>
      <c r="P218" s="63"/>
      <c r="Q218" s="223"/>
    </row>
    <row r="219" spans="2:17" ht="14.4" x14ac:dyDescent="0.25">
      <c r="B219" s="15" t="s">
        <v>242</v>
      </c>
      <c r="C219" s="73">
        <v>12.19</v>
      </c>
      <c r="D219" s="131">
        <v>14.12</v>
      </c>
      <c r="E219" s="33">
        <v>1</v>
      </c>
      <c r="F219" s="131"/>
      <c r="G219" s="131"/>
      <c r="H219" s="131"/>
      <c r="I219" s="46">
        <f>C219*E219</f>
        <v>12.19</v>
      </c>
      <c r="J219" s="46"/>
      <c r="K219" s="46"/>
      <c r="L219" s="46"/>
      <c r="M219" s="136"/>
      <c r="N219" s="63"/>
      <c r="O219" s="63"/>
      <c r="P219" s="63">
        <f t="shared" ref="P219:P221" si="90">D219*E219</f>
        <v>14.12</v>
      </c>
      <c r="Q219" s="214">
        <f t="shared" ref="Q219:Q221" si="91">D219*E219</f>
        <v>14.12</v>
      </c>
    </row>
    <row r="220" spans="2:17" ht="14.4" x14ac:dyDescent="0.25">
      <c r="B220" s="15" t="s">
        <v>213</v>
      </c>
      <c r="C220" s="73">
        <v>4</v>
      </c>
      <c r="D220" s="131">
        <v>8</v>
      </c>
      <c r="E220" s="33">
        <v>2</v>
      </c>
      <c r="F220" s="131"/>
      <c r="G220" s="131"/>
      <c r="H220" s="131"/>
      <c r="I220" s="46"/>
      <c r="J220" s="46">
        <f>C220*E220</f>
        <v>8</v>
      </c>
      <c r="K220" s="46"/>
      <c r="L220" s="46"/>
      <c r="M220" s="136"/>
      <c r="N220" s="63"/>
      <c r="O220" s="63"/>
      <c r="P220" s="63">
        <f t="shared" si="90"/>
        <v>16</v>
      </c>
      <c r="Q220" s="214">
        <f t="shared" si="91"/>
        <v>16</v>
      </c>
    </row>
    <row r="221" spans="2:17" ht="14.4" x14ac:dyDescent="0.25">
      <c r="B221" s="15" t="s">
        <v>243</v>
      </c>
      <c r="C221" s="73">
        <v>16.71</v>
      </c>
      <c r="D221" s="131">
        <v>17.18</v>
      </c>
      <c r="E221" s="33">
        <v>1</v>
      </c>
      <c r="F221" s="131"/>
      <c r="G221" s="131"/>
      <c r="H221" s="131"/>
      <c r="I221" s="46">
        <f>C221*E221</f>
        <v>16.71</v>
      </c>
      <c r="J221" s="46"/>
      <c r="K221" s="46"/>
      <c r="L221" s="46"/>
      <c r="M221" s="136"/>
      <c r="N221" s="63"/>
      <c r="O221" s="63"/>
      <c r="P221" s="63">
        <f t="shared" si="90"/>
        <v>17.18</v>
      </c>
      <c r="Q221" s="214">
        <f t="shared" si="91"/>
        <v>17.18</v>
      </c>
    </row>
    <row r="222" spans="2:17" ht="14.4" x14ac:dyDescent="0.25">
      <c r="B222" s="260" t="s">
        <v>229</v>
      </c>
      <c r="C222" s="73">
        <v>1.1599999999999999</v>
      </c>
      <c r="D222" s="131">
        <v>6.82</v>
      </c>
      <c r="E222" s="33">
        <v>1</v>
      </c>
      <c r="F222" s="131"/>
      <c r="G222" s="131"/>
      <c r="H222" s="131"/>
      <c r="I222" s="46"/>
      <c r="J222" s="46"/>
      <c r="K222" s="46"/>
      <c r="L222" s="46"/>
      <c r="M222" s="136"/>
      <c r="N222" s="63"/>
      <c r="O222" s="63"/>
      <c r="P222" s="63"/>
      <c r="Q222" s="223"/>
    </row>
    <row r="223" spans="2:17" ht="15" thickBot="1" x14ac:dyDescent="0.3">
      <c r="B223" s="279" t="s">
        <v>229</v>
      </c>
      <c r="C223" s="344">
        <v>1.17</v>
      </c>
      <c r="D223" s="328">
        <v>7.15</v>
      </c>
      <c r="E223" s="330">
        <v>1</v>
      </c>
      <c r="F223" s="328"/>
      <c r="G223" s="328"/>
      <c r="H223" s="328"/>
      <c r="I223" s="358"/>
      <c r="J223" s="358"/>
      <c r="K223" s="358"/>
      <c r="L223" s="358"/>
      <c r="M223" s="359"/>
      <c r="N223" s="360"/>
      <c r="O223" s="360"/>
      <c r="P223" s="360"/>
      <c r="Q223" s="364"/>
    </row>
    <row r="224" spans="2:17" ht="14.4" x14ac:dyDescent="0.25">
      <c r="B224" s="320" t="s">
        <v>332</v>
      </c>
      <c r="C224" s="350">
        <v>24.47</v>
      </c>
      <c r="D224" s="322">
        <v>28.27</v>
      </c>
      <c r="E224" s="29">
        <v>1</v>
      </c>
      <c r="F224" s="322"/>
      <c r="G224" s="131"/>
      <c r="H224" s="131"/>
      <c r="I224" s="354"/>
      <c r="J224" s="354"/>
      <c r="K224" s="354"/>
      <c r="L224" s="354"/>
      <c r="M224" s="355"/>
      <c r="N224" s="356"/>
      <c r="O224" s="63">
        <f>C224*E224</f>
        <v>24.47</v>
      </c>
      <c r="P224" s="356"/>
      <c r="Q224" s="363"/>
    </row>
    <row r="225" spans="2:17" ht="14.4" x14ac:dyDescent="0.25">
      <c r="B225" s="317" t="s">
        <v>168</v>
      </c>
      <c r="C225" s="222">
        <v>14.74</v>
      </c>
      <c r="D225" s="131">
        <f>22.59</f>
        <v>22.59</v>
      </c>
      <c r="E225" s="33">
        <v>1</v>
      </c>
      <c r="F225" s="131"/>
      <c r="G225" s="131"/>
      <c r="H225" s="131"/>
      <c r="I225" s="46">
        <f>C225*E225</f>
        <v>14.74</v>
      </c>
      <c r="J225" s="46"/>
      <c r="K225" s="46"/>
      <c r="L225" s="46"/>
      <c r="M225" s="136"/>
      <c r="N225" s="63"/>
      <c r="O225" s="63"/>
      <c r="P225" s="63">
        <f t="shared" ref="P225" si="92">D225*E225</f>
        <v>22.59</v>
      </c>
      <c r="Q225" s="214">
        <f t="shared" ref="Q225" si="93">D225*E225</f>
        <v>22.59</v>
      </c>
    </row>
    <row r="226" spans="2:17" ht="14.4" x14ac:dyDescent="0.25">
      <c r="B226" s="262" t="s">
        <v>168</v>
      </c>
      <c r="C226" s="73">
        <v>4.33</v>
      </c>
      <c r="D226" s="131">
        <v>15</v>
      </c>
      <c r="E226" s="33">
        <v>1</v>
      </c>
      <c r="F226" s="131"/>
      <c r="G226" s="131"/>
      <c r="H226" s="131"/>
      <c r="I226" s="46"/>
      <c r="J226" s="46"/>
      <c r="K226" s="46"/>
      <c r="L226" s="46">
        <f>C226*E226</f>
        <v>4.33</v>
      </c>
      <c r="M226" s="136"/>
      <c r="N226" s="63"/>
      <c r="O226" s="63"/>
      <c r="P226" s="63"/>
      <c r="Q226" s="223"/>
    </row>
    <row r="227" spans="2:17" ht="14.4" x14ac:dyDescent="0.25">
      <c r="B227" s="262" t="s">
        <v>229</v>
      </c>
      <c r="C227" s="73">
        <v>1.5</v>
      </c>
      <c r="D227" s="131">
        <v>7</v>
      </c>
      <c r="E227" s="33">
        <v>1</v>
      </c>
      <c r="F227" s="131"/>
      <c r="G227" s="131"/>
      <c r="H227" s="131"/>
      <c r="I227" s="46"/>
      <c r="J227" s="46"/>
      <c r="K227" s="46"/>
      <c r="L227" s="46"/>
      <c r="M227" s="136"/>
      <c r="N227" s="63"/>
      <c r="O227" s="63"/>
      <c r="P227" s="63"/>
      <c r="Q227" s="223"/>
    </row>
    <row r="228" spans="2:17" ht="14.4" x14ac:dyDescent="0.25">
      <c r="B228" s="317" t="s">
        <v>238</v>
      </c>
      <c r="C228" s="222">
        <v>17.649999999999999</v>
      </c>
      <c r="D228" s="131">
        <f>18.09-6.8</f>
        <v>11.29</v>
      </c>
      <c r="E228" s="33">
        <v>1</v>
      </c>
      <c r="F228" s="131"/>
      <c r="G228" s="131"/>
      <c r="H228" s="131"/>
      <c r="I228" s="46">
        <f>C228*E228</f>
        <v>17.649999999999999</v>
      </c>
      <c r="J228" s="46"/>
      <c r="K228" s="46"/>
      <c r="L228" s="46"/>
      <c r="M228" s="136"/>
      <c r="N228" s="63"/>
      <c r="O228" s="63"/>
      <c r="P228" s="63">
        <f t="shared" ref="P228:P229" si="94">D228*E228</f>
        <v>11.29</v>
      </c>
      <c r="Q228" s="214">
        <f t="shared" ref="Q228:Q229" si="95">D228*E228</f>
        <v>11.29</v>
      </c>
    </row>
    <row r="229" spans="2:17" ht="14.4" x14ac:dyDescent="0.25">
      <c r="B229" s="317" t="s">
        <v>368</v>
      </c>
      <c r="C229" s="222">
        <v>31.48</v>
      </c>
      <c r="D229" s="131">
        <f>25.42-9.55</f>
        <v>15.870000000000001</v>
      </c>
      <c r="E229" s="33">
        <v>1</v>
      </c>
      <c r="F229" s="131"/>
      <c r="G229" s="131"/>
      <c r="H229" s="131"/>
      <c r="I229" s="46">
        <f>C229*E229</f>
        <v>31.48</v>
      </c>
      <c r="J229" s="46"/>
      <c r="K229" s="46"/>
      <c r="L229" s="46"/>
      <c r="M229" s="136"/>
      <c r="N229" s="63"/>
      <c r="O229" s="63"/>
      <c r="P229" s="63">
        <f t="shared" si="94"/>
        <v>15.870000000000001</v>
      </c>
      <c r="Q229" s="214">
        <f t="shared" si="95"/>
        <v>15.870000000000001</v>
      </c>
    </row>
    <row r="230" spans="2:17" ht="14.4" x14ac:dyDescent="0.25">
      <c r="B230" s="262" t="s">
        <v>368</v>
      </c>
      <c r="C230" s="73">
        <v>16.420000000000002</v>
      </c>
      <c r="D230" s="131">
        <v>16.260000000000002</v>
      </c>
      <c r="E230" s="33">
        <v>1</v>
      </c>
      <c r="F230" s="131"/>
      <c r="G230" s="131"/>
      <c r="H230" s="131"/>
      <c r="I230" s="46"/>
      <c r="J230" s="46"/>
      <c r="K230" s="46"/>
      <c r="L230" s="46">
        <f>C230*E230</f>
        <v>16.420000000000002</v>
      </c>
      <c r="M230" s="136"/>
      <c r="N230" s="63"/>
      <c r="O230" s="63"/>
      <c r="P230" s="63"/>
      <c r="Q230" s="223"/>
    </row>
    <row r="231" spans="2:17" ht="14.4" x14ac:dyDescent="0.25">
      <c r="B231" s="317" t="s">
        <v>369</v>
      </c>
      <c r="C231" s="222">
        <v>18.55</v>
      </c>
      <c r="D231" s="131">
        <f>17.73-8.94</f>
        <v>8.7900000000000009</v>
      </c>
      <c r="E231" s="33">
        <v>1</v>
      </c>
      <c r="F231" s="131"/>
      <c r="G231" s="131"/>
      <c r="H231" s="131"/>
      <c r="I231" s="46"/>
      <c r="J231" s="46"/>
      <c r="K231" s="46"/>
      <c r="L231" s="46"/>
      <c r="M231" s="136"/>
      <c r="N231" s="63"/>
      <c r="O231" s="63"/>
      <c r="P231" s="63"/>
      <c r="Q231" s="223"/>
    </row>
    <row r="232" spans="2:17" ht="14.4" x14ac:dyDescent="0.25">
      <c r="B232" s="260" t="s">
        <v>370</v>
      </c>
      <c r="C232" s="73">
        <v>40.020000000000003</v>
      </c>
      <c r="D232" s="131">
        <f>25.42-3.8</f>
        <v>21.62</v>
      </c>
      <c r="E232" s="33">
        <v>1</v>
      </c>
      <c r="F232" s="131"/>
      <c r="G232" s="131"/>
      <c r="H232" s="131"/>
      <c r="I232" s="46">
        <f>C232*E232</f>
        <v>40.020000000000003</v>
      </c>
      <c r="J232" s="46"/>
      <c r="K232" s="46"/>
      <c r="L232" s="46"/>
      <c r="M232" s="136"/>
      <c r="N232" s="63"/>
      <c r="O232" s="63"/>
      <c r="P232" s="63">
        <f t="shared" ref="P232" si="96">D232*E232</f>
        <v>21.62</v>
      </c>
      <c r="Q232" s="214">
        <f t="shared" ref="Q232" si="97">D232*E232</f>
        <v>21.62</v>
      </c>
    </row>
    <row r="233" spans="2:17" ht="14.4" x14ac:dyDescent="0.25">
      <c r="B233" s="260" t="s">
        <v>370</v>
      </c>
      <c r="C233" s="73">
        <v>31.25</v>
      </c>
      <c r="D233" s="131">
        <v>22.36</v>
      </c>
      <c r="E233" s="33">
        <v>1</v>
      </c>
      <c r="F233" s="131"/>
      <c r="G233" s="131"/>
      <c r="H233" s="131"/>
      <c r="I233" s="46"/>
      <c r="J233" s="46"/>
      <c r="K233" s="46"/>
      <c r="L233" s="46">
        <f>C233*E233</f>
        <v>31.25</v>
      </c>
      <c r="M233" s="136"/>
      <c r="N233" s="63"/>
      <c r="O233" s="63"/>
      <c r="P233" s="63"/>
      <c r="Q233" s="223"/>
    </row>
    <row r="234" spans="2:17" ht="28.8" x14ac:dyDescent="0.25">
      <c r="B234" s="280" t="s">
        <v>371</v>
      </c>
      <c r="C234" s="73">
        <v>25.42</v>
      </c>
      <c r="D234" s="131">
        <v>26.33</v>
      </c>
      <c r="E234" s="33">
        <v>2</v>
      </c>
      <c r="F234" s="131"/>
      <c r="G234" s="131"/>
      <c r="H234" s="131"/>
      <c r="I234" s="46"/>
      <c r="J234" s="46">
        <f>C234*E234</f>
        <v>50.84</v>
      </c>
      <c r="K234" s="46"/>
      <c r="L234" s="46"/>
      <c r="M234" s="136"/>
      <c r="N234" s="63"/>
      <c r="O234" s="63"/>
      <c r="P234" s="63">
        <f t="shared" ref="P234:P235" si="98">D234*E234</f>
        <v>52.66</v>
      </c>
      <c r="Q234" s="214">
        <f t="shared" ref="Q234:Q235" si="99">D234*E234</f>
        <v>52.66</v>
      </c>
    </row>
    <row r="235" spans="2:17" ht="14.4" x14ac:dyDescent="0.25">
      <c r="B235" s="260" t="s">
        <v>168</v>
      </c>
      <c r="C235" s="73">
        <v>29.09</v>
      </c>
      <c r="D235" s="131">
        <f>33.68-3</f>
        <v>30.68</v>
      </c>
      <c r="E235" s="33">
        <v>1</v>
      </c>
      <c r="F235" s="131"/>
      <c r="G235" s="131"/>
      <c r="H235" s="131"/>
      <c r="I235" s="46">
        <f>C235*E235</f>
        <v>29.09</v>
      </c>
      <c r="J235" s="46"/>
      <c r="K235" s="46"/>
      <c r="L235" s="46"/>
      <c r="M235" s="136"/>
      <c r="N235" s="63"/>
      <c r="O235" s="63"/>
      <c r="P235" s="63">
        <f t="shared" si="98"/>
        <v>30.68</v>
      </c>
      <c r="Q235" s="214">
        <f t="shared" si="99"/>
        <v>30.68</v>
      </c>
    </row>
    <row r="236" spans="2:17" ht="14.4" x14ac:dyDescent="0.25">
      <c r="B236" s="260" t="s">
        <v>168</v>
      </c>
      <c r="C236" s="73">
        <v>17.96</v>
      </c>
      <c r="D236" s="131">
        <v>31.24</v>
      </c>
      <c r="E236" s="33">
        <v>1</v>
      </c>
      <c r="F236" s="131"/>
      <c r="G236" s="131"/>
      <c r="H236" s="131"/>
      <c r="I236" s="46"/>
      <c r="J236" s="46"/>
      <c r="K236" s="46">
        <f>C236*E236</f>
        <v>17.96</v>
      </c>
      <c r="L236" s="46"/>
      <c r="M236" s="136"/>
      <c r="N236" s="63"/>
      <c r="O236" s="63"/>
      <c r="P236" s="63"/>
      <c r="Q236" s="223"/>
    </row>
    <row r="237" spans="2:17" ht="14.4" x14ac:dyDescent="0.25">
      <c r="B237" s="260" t="s">
        <v>372</v>
      </c>
      <c r="C237" s="73">
        <v>6.74</v>
      </c>
      <c r="D237" s="131">
        <v>10.57</v>
      </c>
      <c r="E237" s="33">
        <v>1</v>
      </c>
      <c r="F237" s="131"/>
      <c r="G237" s="131"/>
      <c r="H237" s="131"/>
      <c r="I237" s="46">
        <f t="shared" ref="I237:I239" si="100">C237*E237</f>
        <v>6.74</v>
      </c>
      <c r="J237" s="46"/>
      <c r="K237" s="46"/>
      <c r="L237" s="46"/>
      <c r="M237" s="136"/>
      <c r="N237" s="63"/>
      <c r="O237" s="63"/>
      <c r="P237" s="63">
        <f t="shared" ref="P237:P240" si="101">D237*E237</f>
        <v>10.57</v>
      </c>
      <c r="Q237" s="214">
        <f t="shared" ref="Q237:Q240" si="102">D237*E237</f>
        <v>10.57</v>
      </c>
    </row>
    <row r="238" spans="2:17" ht="14.4" x14ac:dyDescent="0.25">
      <c r="B238" s="260" t="s">
        <v>372</v>
      </c>
      <c r="C238" s="73">
        <v>6.96</v>
      </c>
      <c r="D238" s="131">
        <v>10.57</v>
      </c>
      <c r="E238" s="33">
        <v>10</v>
      </c>
      <c r="F238" s="131"/>
      <c r="G238" s="131"/>
      <c r="H238" s="131"/>
      <c r="I238" s="46">
        <f t="shared" si="100"/>
        <v>69.599999999999994</v>
      </c>
      <c r="J238" s="46"/>
      <c r="K238" s="46"/>
      <c r="L238" s="46"/>
      <c r="M238" s="136"/>
      <c r="N238" s="63"/>
      <c r="O238" s="63"/>
      <c r="P238" s="63">
        <f t="shared" si="101"/>
        <v>105.7</v>
      </c>
      <c r="Q238" s="214">
        <f t="shared" si="102"/>
        <v>105.7</v>
      </c>
    </row>
    <row r="239" spans="2:17" ht="14.4" x14ac:dyDescent="0.25">
      <c r="B239" s="260" t="s">
        <v>372</v>
      </c>
      <c r="C239" s="73">
        <v>6.95</v>
      </c>
      <c r="D239" s="131">
        <v>10.57</v>
      </c>
      <c r="E239" s="33">
        <v>3</v>
      </c>
      <c r="F239" s="131"/>
      <c r="G239" s="131"/>
      <c r="H239" s="131"/>
      <c r="I239" s="46">
        <f t="shared" si="100"/>
        <v>20.85</v>
      </c>
      <c r="J239" s="46"/>
      <c r="K239" s="46"/>
      <c r="L239" s="46"/>
      <c r="M239" s="136"/>
      <c r="N239" s="63"/>
      <c r="O239" s="63"/>
      <c r="P239" s="63">
        <f t="shared" si="101"/>
        <v>31.71</v>
      </c>
      <c r="Q239" s="214">
        <f t="shared" si="102"/>
        <v>31.71</v>
      </c>
    </row>
    <row r="240" spans="2:17" ht="14.4" x14ac:dyDescent="0.25">
      <c r="B240" s="260" t="s">
        <v>168</v>
      </c>
      <c r="C240" s="73">
        <v>15.9</v>
      </c>
      <c r="D240" s="131">
        <f>24.2-4</f>
        <v>20.2</v>
      </c>
      <c r="E240" s="33">
        <v>2</v>
      </c>
      <c r="F240" s="131"/>
      <c r="G240" s="131"/>
      <c r="H240" s="131"/>
      <c r="I240" s="46">
        <f>C240*E240</f>
        <v>31.8</v>
      </c>
      <c r="J240" s="46"/>
      <c r="K240" s="46"/>
      <c r="L240" s="46"/>
      <c r="M240" s="136"/>
      <c r="N240" s="63"/>
      <c r="O240" s="63"/>
      <c r="P240" s="63">
        <f t="shared" si="101"/>
        <v>40.4</v>
      </c>
      <c r="Q240" s="214">
        <f t="shared" si="102"/>
        <v>40.4</v>
      </c>
    </row>
    <row r="241" spans="1:18" ht="14.4" x14ac:dyDescent="0.25">
      <c r="B241" s="260" t="s">
        <v>168</v>
      </c>
      <c r="C241" s="73">
        <v>6.3</v>
      </c>
      <c r="D241" s="131">
        <v>21.26</v>
      </c>
      <c r="E241" s="33">
        <v>2</v>
      </c>
      <c r="F241" s="131"/>
      <c r="G241" s="131"/>
      <c r="H241" s="131"/>
      <c r="I241" s="46"/>
      <c r="J241" s="46"/>
      <c r="K241" s="46"/>
      <c r="L241" s="46">
        <f>C241*E241</f>
        <v>12.6</v>
      </c>
      <c r="M241" s="136"/>
      <c r="N241" s="63"/>
      <c r="O241" s="63"/>
      <c r="P241" s="63"/>
      <c r="Q241" s="223"/>
    </row>
    <row r="242" spans="1:18" ht="14.4" x14ac:dyDescent="0.25">
      <c r="B242" s="260" t="s">
        <v>373</v>
      </c>
      <c r="C242" s="73">
        <v>7.02</v>
      </c>
      <c r="D242" s="131">
        <f>10.87-2.5</f>
        <v>8.3699999999999992</v>
      </c>
      <c r="E242" s="33">
        <v>1</v>
      </c>
      <c r="F242" s="131"/>
      <c r="G242" s="131"/>
      <c r="H242" s="131"/>
      <c r="I242" s="46">
        <f t="shared" ref="I242:I243" si="103">C242*E242</f>
        <v>7.02</v>
      </c>
      <c r="J242" s="46"/>
      <c r="K242" s="46"/>
      <c r="L242" s="46"/>
      <c r="M242" s="136"/>
      <c r="N242" s="63"/>
      <c r="O242" s="63"/>
      <c r="P242" s="63">
        <f t="shared" ref="P242:P243" si="104">D242*E242</f>
        <v>8.3699999999999992</v>
      </c>
      <c r="Q242" s="214">
        <f t="shared" ref="Q242:Q243" si="105">D242*E242</f>
        <v>8.3699999999999992</v>
      </c>
    </row>
    <row r="243" spans="1:18" ht="14.4" x14ac:dyDescent="0.25">
      <c r="B243" s="260" t="s">
        <v>373</v>
      </c>
      <c r="C243" s="73">
        <v>7.33</v>
      </c>
      <c r="D243" s="131">
        <f>10.87-2.5</f>
        <v>8.3699999999999992</v>
      </c>
      <c r="E243" s="33">
        <v>1</v>
      </c>
      <c r="F243" s="131"/>
      <c r="G243" s="131"/>
      <c r="H243" s="131"/>
      <c r="I243" s="46">
        <f t="shared" si="103"/>
        <v>7.33</v>
      </c>
      <c r="J243" s="46"/>
      <c r="K243" s="46"/>
      <c r="L243" s="46"/>
      <c r="M243" s="136"/>
      <c r="N243" s="63"/>
      <c r="O243" s="63"/>
      <c r="P243" s="63">
        <f t="shared" si="104"/>
        <v>8.3699999999999992</v>
      </c>
      <c r="Q243" s="214">
        <f t="shared" si="105"/>
        <v>8.3699999999999992</v>
      </c>
    </row>
    <row r="244" spans="1:18" ht="19.95" customHeight="1" x14ac:dyDescent="0.25">
      <c r="B244" s="134" t="s">
        <v>22</v>
      </c>
      <c r="C244" s="127">
        <f>SUM(C178:C243)</f>
        <v>1282.55</v>
      </c>
      <c r="D244" s="127"/>
      <c r="E244" s="127"/>
      <c r="F244" s="127"/>
      <c r="G244" s="127">
        <f t="shared" ref="G244:Q244" si="106">SUM(G178:G243)</f>
        <v>0</v>
      </c>
      <c r="H244" s="127">
        <f t="shared" si="106"/>
        <v>0</v>
      </c>
      <c r="I244" s="127">
        <f t="shared" si="106"/>
        <v>852.0200000000001</v>
      </c>
      <c r="J244" s="127">
        <f t="shared" si="106"/>
        <v>87.34</v>
      </c>
      <c r="K244" s="127">
        <f t="shared" si="106"/>
        <v>110.16</v>
      </c>
      <c r="L244" s="127">
        <f t="shared" si="106"/>
        <v>132.93</v>
      </c>
      <c r="M244" s="127">
        <f t="shared" si="106"/>
        <v>114.5</v>
      </c>
      <c r="N244" s="127">
        <f t="shared" si="106"/>
        <v>0</v>
      </c>
      <c r="O244" s="127">
        <f t="shared" si="106"/>
        <v>75.66</v>
      </c>
      <c r="P244" s="127">
        <f t="shared" si="106"/>
        <v>965.16</v>
      </c>
      <c r="Q244" s="127">
        <f t="shared" si="106"/>
        <v>965.16</v>
      </c>
      <c r="R244" s="1"/>
    </row>
    <row r="245" spans="1:18" ht="19.95" customHeight="1" x14ac:dyDescent="0.25">
      <c r="B245" s="271"/>
      <c r="C245" s="272"/>
      <c r="D245" s="272"/>
      <c r="E245" s="127"/>
      <c r="F245" s="127"/>
      <c r="G245" s="127"/>
      <c r="H245" s="127"/>
      <c r="I245" s="258">
        <v>1</v>
      </c>
      <c r="J245" s="258">
        <v>2</v>
      </c>
      <c r="K245" s="224">
        <v>3</v>
      </c>
      <c r="L245" s="224">
        <v>4</v>
      </c>
      <c r="M245" s="224">
        <v>6</v>
      </c>
      <c r="N245" s="224">
        <v>7</v>
      </c>
      <c r="O245" s="224">
        <v>5</v>
      </c>
      <c r="P245" s="218" t="s">
        <v>194</v>
      </c>
      <c r="Q245" s="255"/>
      <c r="R245" s="1"/>
    </row>
    <row r="246" spans="1:18" ht="40.049999999999997" customHeight="1" x14ac:dyDescent="0.25">
      <c r="B246" s="843" t="s">
        <v>16</v>
      </c>
      <c r="C246" s="839" t="s">
        <v>17</v>
      </c>
      <c r="D246" s="839" t="s">
        <v>18</v>
      </c>
      <c r="E246" s="842" t="s">
        <v>19</v>
      </c>
      <c r="F246" s="842" t="s">
        <v>13</v>
      </c>
      <c r="G246" s="842" t="s">
        <v>24</v>
      </c>
      <c r="H246" s="842" t="s">
        <v>25</v>
      </c>
      <c r="I246" s="842" t="s">
        <v>82</v>
      </c>
      <c r="J246" s="842" t="s">
        <v>83</v>
      </c>
      <c r="K246" s="838" t="s">
        <v>84</v>
      </c>
      <c r="L246" s="838" t="s">
        <v>85</v>
      </c>
      <c r="M246" s="838" t="s">
        <v>86</v>
      </c>
      <c r="N246" s="848" t="s">
        <v>87</v>
      </c>
      <c r="O246" s="848" t="s">
        <v>88</v>
      </c>
      <c r="P246" s="848" t="s">
        <v>193</v>
      </c>
      <c r="Q246" s="848" t="s">
        <v>192</v>
      </c>
    </row>
    <row r="247" spans="1:18" ht="40.049999999999997" customHeight="1" x14ac:dyDescent="0.25">
      <c r="B247" s="852"/>
      <c r="C247" s="838"/>
      <c r="D247" s="838"/>
      <c r="E247" s="842"/>
      <c r="F247" s="842"/>
      <c r="G247" s="839"/>
      <c r="H247" s="839"/>
      <c r="I247" s="839"/>
      <c r="J247" s="839"/>
      <c r="K247" s="839"/>
      <c r="L247" s="839"/>
      <c r="M247" s="839"/>
      <c r="N247" s="849"/>
      <c r="O247" s="849"/>
      <c r="P247" s="849"/>
      <c r="Q247" s="849"/>
    </row>
    <row r="248" spans="1:18" ht="15.6" x14ac:dyDescent="0.25">
      <c r="A248" s="141" t="s">
        <v>89</v>
      </c>
      <c r="B248" s="59" t="s">
        <v>60</v>
      </c>
      <c r="C248" s="60"/>
      <c r="D248" s="60"/>
      <c r="E248" s="60"/>
      <c r="F248" s="60"/>
      <c r="G248" s="60"/>
      <c r="H248" s="60"/>
      <c r="I248" s="58"/>
      <c r="J248" s="58"/>
      <c r="K248" s="58"/>
      <c r="L248" s="58"/>
      <c r="M248" s="57"/>
      <c r="N248" s="61"/>
      <c r="O248" s="61"/>
      <c r="P248" s="61"/>
      <c r="Q248" s="61"/>
      <c r="R248" s="1"/>
    </row>
    <row r="249" spans="1:18" ht="14.4" x14ac:dyDescent="0.25">
      <c r="A249" s="141"/>
      <c r="B249" s="220" t="s">
        <v>168</v>
      </c>
      <c r="C249" s="603">
        <v>11.67</v>
      </c>
      <c r="D249" s="576">
        <v>14.83</v>
      </c>
      <c r="E249" s="33">
        <v>1</v>
      </c>
      <c r="F249" s="574"/>
      <c r="G249" s="574"/>
      <c r="H249" s="574"/>
      <c r="I249" s="580"/>
      <c r="J249" s="580"/>
      <c r="K249" s="528">
        <f>C249*E249</f>
        <v>11.67</v>
      </c>
      <c r="L249" s="580"/>
      <c r="M249" s="581"/>
      <c r="N249" s="582"/>
      <c r="O249" s="582"/>
      <c r="P249" s="582"/>
      <c r="Q249" s="582"/>
    </row>
    <row r="250" spans="1:18" ht="14.4" x14ac:dyDescent="0.25">
      <c r="A250" s="141"/>
      <c r="B250" s="220" t="s">
        <v>258</v>
      </c>
      <c r="C250" s="603">
        <v>30.45</v>
      </c>
      <c r="D250" s="576">
        <v>28.18</v>
      </c>
      <c r="E250" s="33">
        <v>1</v>
      </c>
      <c r="F250" s="574"/>
      <c r="G250" s="574"/>
      <c r="H250" s="574"/>
      <c r="I250" s="580"/>
      <c r="J250" s="580"/>
      <c r="K250" s="528">
        <f>C250*E250</f>
        <v>30.45</v>
      </c>
      <c r="L250" s="580"/>
      <c r="M250" s="581"/>
      <c r="N250" s="582"/>
      <c r="O250" s="582"/>
      <c r="P250" s="582"/>
      <c r="Q250" s="582"/>
    </row>
    <row r="251" spans="1:18" ht="14.4" x14ac:dyDescent="0.25">
      <c r="A251" s="141"/>
      <c r="B251" s="157" t="s">
        <v>346</v>
      </c>
      <c r="C251" s="566">
        <v>43.48</v>
      </c>
      <c r="D251" s="576">
        <v>27.85</v>
      </c>
      <c r="E251" s="33">
        <v>1</v>
      </c>
      <c r="F251" s="574"/>
      <c r="G251" s="574"/>
      <c r="H251" s="574"/>
      <c r="I251" s="580"/>
      <c r="J251" s="580"/>
      <c r="K251" s="580"/>
      <c r="L251" s="580"/>
      <c r="M251" s="581"/>
      <c r="N251" s="582"/>
      <c r="O251" s="606">
        <f>C251*E251</f>
        <v>43.48</v>
      </c>
      <c r="P251" s="582"/>
      <c r="Q251" s="582"/>
    </row>
    <row r="252" spans="1:18" ht="14.4" x14ac:dyDescent="0.25">
      <c r="A252" s="141"/>
      <c r="B252" s="157" t="s">
        <v>724</v>
      </c>
      <c r="C252" s="566">
        <v>7.45</v>
      </c>
      <c r="D252" s="576">
        <v>10.93</v>
      </c>
      <c r="E252" s="33">
        <v>1</v>
      </c>
      <c r="F252" s="574"/>
      <c r="G252" s="574"/>
      <c r="H252" s="574"/>
      <c r="I252" s="580"/>
      <c r="J252" s="580"/>
      <c r="K252" s="580"/>
      <c r="L252" s="580"/>
      <c r="M252" s="581"/>
      <c r="N252" s="582"/>
      <c r="O252" s="582"/>
      <c r="P252" s="582"/>
      <c r="Q252" s="582"/>
    </row>
    <row r="253" spans="1:18" ht="14.4" x14ac:dyDescent="0.25">
      <c r="A253" s="141"/>
      <c r="B253" s="157" t="s">
        <v>725</v>
      </c>
      <c r="C253" s="566">
        <v>8.23</v>
      </c>
      <c r="D253" s="576">
        <v>11.56</v>
      </c>
      <c r="E253" s="33">
        <v>1</v>
      </c>
      <c r="F253" s="574"/>
      <c r="G253" s="574"/>
      <c r="H253" s="574"/>
      <c r="I253" s="580"/>
      <c r="J253" s="580"/>
      <c r="K253" s="580"/>
      <c r="L253" s="580"/>
      <c r="M253" s="581"/>
      <c r="N253" s="582"/>
      <c r="O253" s="582"/>
      <c r="P253" s="582"/>
      <c r="Q253" s="582"/>
    </row>
    <row r="254" spans="1:18" ht="14.4" x14ac:dyDescent="0.25">
      <c r="A254" s="141"/>
      <c r="B254" s="157" t="s">
        <v>726</v>
      </c>
      <c r="C254" s="186">
        <v>3.9</v>
      </c>
      <c r="D254" s="576">
        <v>8.33</v>
      </c>
      <c r="E254" s="33">
        <v>1</v>
      </c>
      <c r="F254" s="574"/>
      <c r="G254" s="574"/>
      <c r="H254" s="574"/>
      <c r="I254" s="580"/>
      <c r="J254" s="580"/>
      <c r="K254" s="580"/>
      <c r="L254" s="580"/>
      <c r="M254" s="581"/>
      <c r="N254" s="582"/>
      <c r="O254" s="582"/>
      <c r="P254" s="582"/>
      <c r="Q254" s="582"/>
    </row>
    <row r="255" spans="1:18" ht="14.4" x14ac:dyDescent="0.25">
      <c r="B255" s="15" t="s">
        <v>205</v>
      </c>
      <c r="C255" s="73">
        <v>19.13</v>
      </c>
      <c r="D255" s="131">
        <v>17.95</v>
      </c>
      <c r="E255" s="33">
        <v>1</v>
      </c>
      <c r="F255" s="131"/>
      <c r="G255" s="131"/>
      <c r="H255" s="131"/>
      <c r="I255" s="46">
        <f>C255*E255</f>
        <v>19.13</v>
      </c>
      <c r="J255" s="46"/>
      <c r="K255" s="46"/>
      <c r="L255" s="46"/>
      <c r="M255" s="136"/>
      <c r="N255" s="63"/>
      <c r="O255" s="63"/>
      <c r="P255" s="63">
        <f>D255*E255</f>
        <v>17.95</v>
      </c>
      <c r="Q255" s="214">
        <f>D255*E255</f>
        <v>17.95</v>
      </c>
    </row>
    <row r="256" spans="1:18" ht="14.4" x14ac:dyDescent="0.25">
      <c r="B256" s="15" t="s">
        <v>205</v>
      </c>
      <c r="C256" s="73">
        <v>11.74</v>
      </c>
      <c r="D256" s="131">
        <v>13.76</v>
      </c>
      <c r="E256" s="33">
        <v>1</v>
      </c>
      <c r="F256" s="131"/>
      <c r="G256" s="131"/>
      <c r="H256" s="131"/>
      <c r="I256" s="46"/>
      <c r="J256" s="46"/>
      <c r="K256" s="46"/>
      <c r="L256" s="46">
        <f>C256*E256</f>
        <v>11.74</v>
      </c>
      <c r="M256" s="136"/>
      <c r="N256" s="63"/>
      <c r="O256" s="63"/>
      <c r="P256" s="63"/>
      <c r="Q256" s="78"/>
    </row>
    <row r="257" spans="2:17" ht="14.4" x14ac:dyDescent="0.25">
      <c r="B257" s="15" t="s">
        <v>229</v>
      </c>
      <c r="C257" s="73">
        <v>0.45</v>
      </c>
      <c r="D257" s="131">
        <v>3.86</v>
      </c>
      <c r="E257" s="33">
        <v>1</v>
      </c>
      <c r="F257" s="131"/>
      <c r="G257" s="131"/>
      <c r="H257" s="131"/>
      <c r="I257" s="46"/>
      <c r="J257" s="46"/>
      <c r="K257" s="46"/>
      <c r="L257" s="46"/>
      <c r="M257" s="136"/>
      <c r="N257" s="63"/>
      <c r="O257" s="63"/>
      <c r="P257" s="63"/>
      <c r="Q257" s="78"/>
    </row>
    <row r="258" spans="2:17" ht="14.4" x14ac:dyDescent="0.25">
      <c r="B258" s="15" t="s">
        <v>168</v>
      </c>
      <c r="C258" s="73">
        <v>9.25</v>
      </c>
      <c r="D258" s="131">
        <f>12.74</f>
        <v>12.74</v>
      </c>
      <c r="E258" s="33">
        <v>1</v>
      </c>
      <c r="F258" s="131"/>
      <c r="G258" s="131"/>
      <c r="H258" s="131"/>
      <c r="I258" s="46">
        <f>C258*E258</f>
        <v>9.25</v>
      </c>
      <c r="J258" s="46"/>
      <c r="K258" s="46"/>
      <c r="L258" s="46"/>
      <c r="M258" s="136"/>
      <c r="N258" s="63"/>
      <c r="O258" s="63"/>
      <c r="P258" s="63">
        <f>D258*E258</f>
        <v>12.74</v>
      </c>
      <c r="Q258" s="214">
        <f>D258*E258</f>
        <v>12.74</v>
      </c>
    </row>
    <row r="259" spans="2:17" ht="14.4" x14ac:dyDescent="0.25">
      <c r="B259" s="15" t="s">
        <v>168</v>
      </c>
      <c r="C259" s="73">
        <v>3.53</v>
      </c>
      <c r="D259" s="131">
        <v>7.52</v>
      </c>
      <c r="E259" s="33">
        <v>1</v>
      </c>
      <c r="F259" s="131"/>
      <c r="G259" s="131"/>
      <c r="H259" s="131"/>
      <c r="I259" s="46"/>
      <c r="J259" s="46"/>
      <c r="K259" s="46"/>
      <c r="L259" s="46">
        <f>C259*E259</f>
        <v>3.53</v>
      </c>
      <c r="M259" s="136"/>
      <c r="N259" s="63"/>
      <c r="O259" s="63"/>
      <c r="P259" s="63"/>
      <c r="Q259" s="78"/>
    </row>
    <row r="260" spans="2:17" ht="14.4" x14ac:dyDescent="0.25">
      <c r="B260" s="15" t="s">
        <v>229</v>
      </c>
      <c r="C260" s="73">
        <v>3.03</v>
      </c>
      <c r="D260" s="131">
        <v>8.51</v>
      </c>
      <c r="E260" s="33">
        <v>1</v>
      </c>
      <c r="F260" s="131"/>
      <c r="G260" s="131"/>
      <c r="H260" s="131"/>
      <c r="I260" s="46"/>
      <c r="J260" s="46"/>
      <c r="K260" s="46"/>
      <c r="L260" s="46"/>
      <c r="M260" s="136"/>
      <c r="N260" s="63"/>
      <c r="O260" s="63"/>
      <c r="P260" s="63"/>
      <c r="Q260" s="78"/>
    </row>
    <row r="261" spans="2:17" ht="14.4" x14ac:dyDescent="0.25">
      <c r="B261" s="220" t="s">
        <v>244</v>
      </c>
      <c r="C261" s="222">
        <v>14.17</v>
      </c>
      <c r="D261" s="131">
        <f>13.92</f>
        <v>13.92</v>
      </c>
      <c r="E261" s="33">
        <v>1</v>
      </c>
      <c r="F261" s="131"/>
      <c r="G261" s="131"/>
      <c r="H261" s="131"/>
      <c r="I261" s="46">
        <f>C261*E261</f>
        <v>14.17</v>
      </c>
      <c r="J261" s="46"/>
      <c r="K261" s="46"/>
      <c r="L261" s="46"/>
      <c r="M261" s="136"/>
      <c r="N261" s="63"/>
      <c r="O261" s="63"/>
      <c r="P261" s="63">
        <f>D261*E261</f>
        <v>13.92</v>
      </c>
      <c r="Q261" s="214">
        <f>D261*E261</f>
        <v>13.92</v>
      </c>
    </row>
    <row r="262" spans="2:17" ht="14.4" x14ac:dyDescent="0.25">
      <c r="B262" s="220" t="s">
        <v>168</v>
      </c>
      <c r="C262" s="222">
        <v>13.3</v>
      </c>
      <c r="D262" s="131">
        <f>14.87</f>
        <v>14.87</v>
      </c>
      <c r="E262" s="33">
        <v>1</v>
      </c>
      <c r="F262" s="131"/>
      <c r="G262" s="131"/>
      <c r="H262" s="131"/>
      <c r="I262" s="46">
        <f>C262*E262</f>
        <v>13.3</v>
      </c>
      <c r="J262" s="46"/>
      <c r="K262" s="46"/>
      <c r="L262" s="46"/>
      <c r="M262" s="136"/>
      <c r="N262" s="63"/>
      <c r="O262" s="63"/>
      <c r="P262" s="63">
        <f>D262*E262</f>
        <v>14.87</v>
      </c>
      <c r="Q262" s="214">
        <f>D262*E262</f>
        <v>14.87</v>
      </c>
    </row>
    <row r="263" spans="2:17" ht="14.4" x14ac:dyDescent="0.25">
      <c r="B263" s="157" t="s">
        <v>168</v>
      </c>
      <c r="C263" s="73">
        <v>2.35</v>
      </c>
      <c r="D263" s="131">
        <v>6.26</v>
      </c>
      <c r="E263" s="33">
        <v>1</v>
      </c>
      <c r="F263" s="131"/>
      <c r="G263" s="131"/>
      <c r="H263" s="131"/>
      <c r="I263" s="46"/>
      <c r="J263" s="46"/>
      <c r="K263" s="46">
        <f>C263*E263</f>
        <v>2.35</v>
      </c>
      <c r="L263" s="46"/>
      <c r="M263" s="136"/>
      <c r="N263" s="63"/>
      <c r="O263" s="63"/>
      <c r="P263" s="63"/>
      <c r="Q263" s="214"/>
    </row>
    <row r="264" spans="2:17" ht="14.4" x14ac:dyDescent="0.25">
      <c r="B264" s="15" t="s">
        <v>229</v>
      </c>
      <c r="C264" s="73">
        <v>1.1000000000000001</v>
      </c>
      <c r="D264" s="131">
        <v>7.44</v>
      </c>
      <c r="E264" s="33">
        <v>1</v>
      </c>
      <c r="F264" s="131"/>
      <c r="G264" s="131"/>
      <c r="H264" s="131"/>
      <c r="I264" s="46"/>
      <c r="J264" s="46"/>
      <c r="K264" s="46"/>
      <c r="L264" s="46"/>
      <c r="M264" s="136"/>
      <c r="N264" s="63"/>
      <c r="O264" s="63"/>
      <c r="P264" s="63"/>
      <c r="Q264" s="78"/>
    </row>
    <row r="265" spans="2:17" ht="14.4" x14ac:dyDescent="0.25">
      <c r="B265" s="220" t="s">
        <v>168</v>
      </c>
      <c r="C265" s="222">
        <v>98.13</v>
      </c>
      <c r="D265" s="131">
        <f>91.31</f>
        <v>91.31</v>
      </c>
      <c r="E265" s="33">
        <v>1</v>
      </c>
      <c r="F265" s="131"/>
      <c r="G265" s="131"/>
      <c r="H265" s="131"/>
      <c r="I265" s="46">
        <f>C265*E265</f>
        <v>98.13</v>
      </c>
      <c r="J265" s="46"/>
      <c r="K265" s="46"/>
      <c r="L265" s="46"/>
      <c r="M265" s="136"/>
      <c r="N265" s="63"/>
      <c r="O265" s="63"/>
      <c r="P265" s="63">
        <f>D265*E265</f>
        <v>91.31</v>
      </c>
      <c r="Q265" s="214">
        <f>D265*E265</f>
        <v>91.31</v>
      </c>
    </row>
    <row r="266" spans="2:17" ht="14.4" x14ac:dyDescent="0.25">
      <c r="B266" s="157" t="s">
        <v>168</v>
      </c>
      <c r="C266" s="73">
        <v>35.18</v>
      </c>
      <c r="D266" s="131">
        <v>71.28</v>
      </c>
      <c r="E266" s="33">
        <v>1</v>
      </c>
      <c r="F266" s="131"/>
      <c r="G266" s="131"/>
      <c r="H266" s="131"/>
      <c r="I266" s="46"/>
      <c r="J266" s="46"/>
      <c r="K266" s="46">
        <f>C266*E266</f>
        <v>35.18</v>
      </c>
      <c r="L266" s="46"/>
      <c r="M266" s="136"/>
      <c r="N266" s="63"/>
      <c r="O266" s="63"/>
      <c r="P266" s="63"/>
      <c r="Q266" s="78"/>
    </row>
    <row r="267" spans="2:17" ht="14.4" x14ac:dyDescent="0.25">
      <c r="B267" s="15" t="s">
        <v>245</v>
      </c>
      <c r="C267" s="73">
        <v>12.12</v>
      </c>
      <c r="D267" s="131">
        <v>14.39</v>
      </c>
      <c r="E267" s="33">
        <v>1</v>
      </c>
      <c r="F267" s="131"/>
      <c r="G267" s="131"/>
      <c r="H267" s="131"/>
      <c r="I267" s="46">
        <f t="shared" ref="I267:I273" si="107">C267*E267</f>
        <v>12.12</v>
      </c>
      <c r="J267" s="46"/>
      <c r="K267" s="46"/>
      <c r="L267" s="46"/>
      <c r="M267" s="136"/>
      <c r="N267" s="63"/>
      <c r="O267" s="63"/>
      <c r="P267" s="63">
        <f>D267*E267</f>
        <v>14.39</v>
      </c>
      <c r="Q267" s="214">
        <f>D267*E267</f>
        <v>14.39</v>
      </c>
    </row>
    <row r="268" spans="2:17" ht="14.4" x14ac:dyDescent="0.25">
      <c r="B268" s="15" t="s">
        <v>168</v>
      </c>
      <c r="C268" s="73">
        <v>7.72</v>
      </c>
      <c r="D268" s="131">
        <f>15.27</f>
        <v>15.27</v>
      </c>
      <c r="E268" s="33">
        <v>1</v>
      </c>
      <c r="F268" s="131"/>
      <c r="G268" s="131"/>
      <c r="H268" s="131"/>
      <c r="I268" s="46">
        <f t="shared" si="107"/>
        <v>7.72</v>
      </c>
      <c r="J268" s="46"/>
      <c r="K268" s="46"/>
      <c r="L268" s="46"/>
      <c r="M268" s="136"/>
      <c r="N268" s="63"/>
      <c r="O268" s="63"/>
      <c r="P268" s="63">
        <f>D268*E268</f>
        <v>15.27</v>
      </c>
      <c r="Q268" s="214">
        <f>D268*E268</f>
        <v>15.27</v>
      </c>
    </row>
    <row r="269" spans="2:17" ht="14.4" x14ac:dyDescent="0.25">
      <c r="B269" s="220" t="s">
        <v>246</v>
      </c>
      <c r="C269" s="222">
        <v>10.18</v>
      </c>
      <c r="D269" s="131">
        <f>13.46</f>
        <v>13.46</v>
      </c>
      <c r="E269" s="33">
        <v>1</v>
      </c>
      <c r="F269" s="131"/>
      <c r="G269" s="131"/>
      <c r="H269" s="131"/>
      <c r="I269" s="46">
        <f t="shared" si="107"/>
        <v>10.18</v>
      </c>
      <c r="J269" s="46"/>
      <c r="K269" s="46"/>
      <c r="L269" s="46"/>
      <c r="M269" s="136"/>
      <c r="N269" s="63"/>
      <c r="O269" s="63"/>
      <c r="P269" s="63">
        <f t="shared" ref="P269:P273" si="108">D269*E269</f>
        <v>13.46</v>
      </c>
      <c r="Q269" s="214">
        <f t="shared" ref="Q269:Q273" si="109">D269*E269</f>
        <v>13.46</v>
      </c>
    </row>
    <row r="270" spans="2:17" ht="14.4" x14ac:dyDescent="0.25">
      <c r="B270" s="15" t="s">
        <v>247</v>
      </c>
      <c r="C270" s="73">
        <v>5.0999999999999996</v>
      </c>
      <c r="D270" s="131">
        <v>9.27</v>
      </c>
      <c r="E270" s="33">
        <v>1</v>
      </c>
      <c r="F270" s="131"/>
      <c r="G270" s="131"/>
      <c r="H270" s="131"/>
      <c r="I270" s="46">
        <f t="shared" si="107"/>
        <v>5.0999999999999996</v>
      </c>
      <c r="J270" s="46"/>
      <c r="K270" s="46"/>
      <c r="L270" s="46"/>
      <c r="M270" s="136"/>
      <c r="N270" s="63"/>
      <c r="O270" s="63"/>
      <c r="P270" s="63">
        <f t="shared" si="108"/>
        <v>9.27</v>
      </c>
      <c r="Q270" s="214">
        <f t="shared" si="109"/>
        <v>9.27</v>
      </c>
    </row>
    <row r="271" spans="2:17" ht="14.4" x14ac:dyDescent="0.25">
      <c r="B271" s="220" t="s">
        <v>248</v>
      </c>
      <c r="C271" s="222">
        <v>13.87</v>
      </c>
      <c r="D271" s="131">
        <v>15.41</v>
      </c>
      <c r="E271" s="33">
        <v>1</v>
      </c>
      <c r="F271" s="131"/>
      <c r="G271" s="131"/>
      <c r="H271" s="131"/>
      <c r="I271" s="46">
        <f t="shared" si="107"/>
        <v>13.87</v>
      </c>
      <c r="J271" s="46"/>
      <c r="K271" s="46"/>
      <c r="L271" s="46"/>
      <c r="M271" s="136"/>
      <c r="N271" s="63"/>
      <c r="O271" s="63"/>
      <c r="P271" s="63">
        <f t="shared" si="108"/>
        <v>15.41</v>
      </c>
      <c r="Q271" s="214">
        <f t="shared" si="109"/>
        <v>15.41</v>
      </c>
    </row>
    <row r="272" spans="2:17" ht="14.4" x14ac:dyDescent="0.25">
      <c r="B272" s="15" t="s">
        <v>249</v>
      </c>
      <c r="C272" s="73">
        <v>7.18</v>
      </c>
      <c r="D272" s="131">
        <v>10.75</v>
      </c>
      <c r="E272" s="33">
        <v>1</v>
      </c>
      <c r="F272" s="131"/>
      <c r="G272" s="131"/>
      <c r="H272" s="131"/>
      <c r="I272" s="46">
        <f t="shared" si="107"/>
        <v>7.18</v>
      </c>
      <c r="J272" s="46"/>
      <c r="K272" s="46"/>
      <c r="L272" s="46"/>
      <c r="M272" s="136"/>
      <c r="N272" s="63"/>
      <c r="O272" s="63"/>
      <c r="P272" s="63">
        <f t="shared" si="108"/>
        <v>10.75</v>
      </c>
      <c r="Q272" s="214">
        <f t="shared" si="109"/>
        <v>10.75</v>
      </c>
    </row>
    <row r="273" spans="2:17" ht="14.4" x14ac:dyDescent="0.25">
      <c r="B273" s="15" t="s">
        <v>250</v>
      </c>
      <c r="C273" s="73">
        <v>3.3</v>
      </c>
      <c r="D273" s="131">
        <v>7.27</v>
      </c>
      <c r="E273" s="33">
        <v>1</v>
      </c>
      <c r="F273" s="131"/>
      <c r="G273" s="131"/>
      <c r="H273" s="131"/>
      <c r="I273" s="46">
        <f t="shared" si="107"/>
        <v>3.3</v>
      </c>
      <c r="J273" s="46"/>
      <c r="K273" s="46"/>
      <c r="L273" s="46"/>
      <c r="M273" s="136"/>
      <c r="N273" s="63"/>
      <c r="O273" s="63"/>
      <c r="P273" s="63">
        <f t="shared" si="108"/>
        <v>7.27</v>
      </c>
      <c r="Q273" s="214">
        <f t="shared" si="109"/>
        <v>7.27</v>
      </c>
    </row>
    <row r="274" spans="2:17" ht="14.4" x14ac:dyDescent="0.25">
      <c r="B274" s="15" t="s">
        <v>251</v>
      </c>
      <c r="C274" s="73">
        <v>3.91</v>
      </c>
      <c r="D274" s="131">
        <v>7.94</v>
      </c>
      <c r="E274" s="33">
        <v>1</v>
      </c>
      <c r="F274" s="131"/>
      <c r="G274" s="131"/>
      <c r="H274" s="131"/>
      <c r="I274" s="46"/>
      <c r="J274" s="46">
        <f>C274*E274</f>
        <v>3.91</v>
      </c>
      <c r="K274" s="46"/>
      <c r="L274" s="46"/>
      <c r="M274" s="136"/>
      <c r="N274" s="63"/>
      <c r="O274" s="63"/>
      <c r="P274" s="63">
        <f t="shared" ref="P274:P275" si="110">D274*E274</f>
        <v>7.94</v>
      </c>
      <c r="Q274" s="214">
        <f t="shared" ref="Q274:Q275" si="111">D274*E274</f>
        <v>7.94</v>
      </c>
    </row>
    <row r="275" spans="2:17" ht="14.4" x14ac:dyDescent="0.25">
      <c r="B275" s="15" t="s">
        <v>252</v>
      </c>
      <c r="C275" s="73">
        <v>3.74</v>
      </c>
      <c r="D275" s="131">
        <v>7.75</v>
      </c>
      <c r="E275" s="33">
        <v>1</v>
      </c>
      <c r="F275" s="131"/>
      <c r="G275" s="131"/>
      <c r="H275" s="131"/>
      <c r="I275" s="46"/>
      <c r="J275" s="46">
        <f>C275*E275</f>
        <v>3.74</v>
      </c>
      <c r="K275" s="46"/>
      <c r="L275" s="46"/>
      <c r="M275" s="136"/>
      <c r="N275" s="63"/>
      <c r="O275" s="63"/>
      <c r="P275" s="63">
        <f t="shared" si="110"/>
        <v>7.75</v>
      </c>
      <c r="Q275" s="214">
        <f t="shared" si="111"/>
        <v>7.75</v>
      </c>
    </row>
    <row r="276" spans="2:17" ht="14.4" x14ac:dyDescent="0.25">
      <c r="B276" s="15" t="s">
        <v>168</v>
      </c>
      <c r="C276" s="73">
        <v>7.99</v>
      </c>
      <c r="D276" s="131">
        <f>17.36</f>
        <v>17.36</v>
      </c>
      <c r="E276" s="33">
        <v>1</v>
      </c>
      <c r="F276" s="131"/>
      <c r="G276" s="131"/>
      <c r="H276" s="131"/>
      <c r="I276" s="46">
        <f>C276*E276</f>
        <v>7.99</v>
      </c>
      <c r="J276" s="46"/>
      <c r="K276" s="46"/>
      <c r="L276" s="46"/>
      <c r="M276" s="136"/>
      <c r="N276" s="63"/>
      <c r="O276" s="63"/>
      <c r="P276" s="63">
        <f t="shared" ref="P276" si="112">D276*E276</f>
        <v>17.36</v>
      </c>
      <c r="Q276" s="214">
        <f t="shared" ref="Q276" si="113">D276*E276</f>
        <v>17.36</v>
      </c>
    </row>
    <row r="277" spans="2:17" ht="14.4" x14ac:dyDescent="0.25">
      <c r="B277" s="15" t="s">
        <v>168</v>
      </c>
      <c r="C277" s="73">
        <v>4.33</v>
      </c>
      <c r="D277" s="131">
        <v>15.02</v>
      </c>
      <c r="E277" s="33">
        <v>1</v>
      </c>
      <c r="F277" s="131"/>
      <c r="G277" s="131"/>
      <c r="H277" s="131"/>
      <c r="I277" s="46"/>
      <c r="J277" s="46"/>
      <c r="K277" s="46"/>
      <c r="L277" s="46">
        <f>C277*E277</f>
        <v>4.33</v>
      </c>
      <c r="M277" s="136"/>
      <c r="N277" s="63"/>
      <c r="O277" s="63"/>
      <c r="P277" s="63"/>
      <c r="Q277" s="78"/>
    </row>
    <row r="278" spans="2:17" ht="14.4" x14ac:dyDescent="0.25">
      <c r="B278" s="15" t="s">
        <v>253</v>
      </c>
      <c r="C278" s="73">
        <v>9.51</v>
      </c>
      <c r="D278" s="131">
        <v>12.82</v>
      </c>
      <c r="E278" s="33">
        <v>1</v>
      </c>
      <c r="F278" s="131"/>
      <c r="G278" s="131"/>
      <c r="H278" s="131"/>
      <c r="I278" s="46">
        <f>C278*E278</f>
        <v>9.51</v>
      </c>
      <c r="J278" s="46"/>
      <c r="K278" s="46"/>
      <c r="L278" s="46"/>
      <c r="M278" s="136"/>
      <c r="N278" s="63"/>
      <c r="O278" s="63"/>
      <c r="P278" s="63">
        <f t="shared" ref="P278:P281" si="114">D278*E278</f>
        <v>12.82</v>
      </c>
      <c r="Q278" s="214">
        <f t="shared" ref="Q278:Q281" si="115">D278*E278</f>
        <v>12.82</v>
      </c>
    </row>
    <row r="279" spans="2:17" ht="14.4" x14ac:dyDescent="0.25">
      <c r="B279" s="15" t="s">
        <v>213</v>
      </c>
      <c r="C279" s="73">
        <v>3.09</v>
      </c>
      <c r="D279" s="131">
        <v>7.21</v>
      </c>
      <c r="E279" s="33">
        <v>1</v>
      </c>
      <c r="F279" s="131"/>
      <c r="G279" s="131"/>
      <c r="H279" s="131"/>
      <c r="I279" s="46"/>
      <c r="J279" s="46">
        <f>C279*E279</f>
        <v>3.09</v>
      </c>
      <c r="K279" s="46"/>
      <c r="L279" s="46"/>
      <c r="M279" s="136"/>
      <c r="N279" s="63"/>
      <c r="O279" s="63"/>
      <c r="P279" s="63">
        <f t="shared" si="114"/>
        <v>7.21</v>
      </c>
      <c r="Q279" s="214">
        <f t="shared" si="115"/>
        <v>7.21</v>
      </c>
    </row>
    <row r="280" spans="2:17" ht="14.4" x14ac:dyDescent="0.25">
      <c r="B280" s="15" t="s">
        <v>254</v>
      </c>
      <c r="C280" s="73">
        <v>9.7799999999999994</v>
      </c>
      <c r="D280" s="131">
        <v>12.95</v>
      </c>
      <c r="E280" s="33">
        <v>1</v>
      </c>
      <c r="F280" s="131"/>
      <c r="G280" s="131"/>
      <c r="H280" s="131"/>
      <c r="I280" s="46">
        <f>C280*E280</f>
        <v>9.7799999999999994</v>
      </c>
      <c r="J280" s="46"/>
      <c r="K280" s="46"/>
      <c r="L280" s="46"/>
      <c r="M280" s="136"/>
      <c r="N280" s="63"/>
      <c r="O280" s="63"/>
      <c r="P280" s="63">
        <f t="shared" si="114"/>
        <v>12.95</v>
      </c>
      <c r="Q280" s="214">
        <f t="shared" si="115"/>
        <v>12.95</v>
      </c>
    </row>
    <row r="281" spans="2:17" ht="14.4" x14ac:dyDescent="0.25">
      <c r="B281" s="15" t="s">
        <v>213</v>
      </c>
      <c r="C281" s="73">
        <v>3.18</v>
      </c>
      <c r="D281" s="131">
        <v>7.34</v>
      </c>
      <c r="E281" s="33">
        <v>1</v>
      </c>
      <c r="F281" s="131"/>
      <c r="G281" s="131"/>
      <c r="H281" s="131"/>
      <c r="I281" s="46"/>
      <c r="J281" s="46">
        <f>C281*E281</f>
        <v>3.18</v>
      </c>
      <c r="K281" s="46"/>
      <c r="L281" s="46"/>
      <c r="M281" s="136"/>
      <c r="N281" s="63"/>
      <c r="O281" s="63"/>
      <c r="P281" s="63">
        <f t="shared" si="114"/>
        <v>7.34</v>
      </c>
      <c r="Q281" s="214">
        <f t="shared" si="115"/>
        <v>7.34</v>
      </c>
    </row>
    <row r="282" spans="2:17" ht="14.4" x14ac:dyDescent="0.25">
      <c r="B282" s="15" t="s">
        <v>255</v>
      </c>
      <c r="C282" s="73">
        <v>1.86</v>
      </c>
      <c r="D282" s="131">
        <v>5.56</v>
      </c>
      <c r="E282" s="33">
        <v>1</v>
      </c>
      <c r="F282" s="131"/>
      <c r="G282" s="131"/>
      <c r="H282" s="131"/>
      <c r="I282" s="46"/>
      <c r="J282" s="46">
        <f t="shared" ref="J282:J285" si="116">C282*E282</f>
        <v>1.86</v>
      </c>
      <c r="K282" s="46"/>
      <c r="L282" s="46"/>
      <c r="M282" s="136"/>
      <c r="N282" s="63"/>
      <c r="O282" s="63"/>
      <c r="P282" s="63">
        <f t="shared" ref="P282:P283" si="117">D282*E282</f>
        <v>5.56</v>
      </c>
      <c r="Q282" s="214">
        <f t="shared" ref="Q282:Q283" si="118">D282*E282</f>
        <v>5.56</v>
      </c>
    </row>
    <row r="283" spans="2:17" ht="14.4" x14ac:dyDescent="0.25">
      <c r="B283" s="15" t="s">
        <v>256</v>
      </c>
      <c r="C283" s="73">
        <v>1.93</v>
      </c>
      <c r="D283" s="131">
        <v>5.64</v>
      </c>
      <c r="E283" s="33">
        <v>1</v>
      </c>
      <c r="F283" s="131"/>
      <c r="G283" s="131"/>
      <c r="H283" s="131"/>
      <c r="I283" s="46"/>
      <c r="J283" s="46">
        <f t="shared" si="116"/>
        <v>1.93</v>
      </c>
      <c r="K283" s="46"/>
      <c r="L283" s="46"/>
      <c r="M283" s="136"/>
      <c r="N283" s="63"/>
      <c r="O283" s="63"/>
      <c r="P283" s="63">
        <f t="shared" si="117"/>
        <v>5.64</v>
      </c>
      <c r="Q283" s="214">
        <f t="shared" si="118"/>
        <v>5.64</v>
      </c>
    </row>
    <row r="284" spans="2:17" ht="14.4" x14ac:dyDescent="0.25">
      <c r="B284" s="15" t="s">
        <v>257</v>
      </c>
      <c r="C284" s="73">
        <v>6.22</v>
      </c>
      <c r="D284" s="131">
        <v>9.9700000000000006</v>
      </c>
      <c r="E284" s="33">
        <v>1</v>
      </c>
      <c r="F284" s="131"/>
      <c r="G284" s="131"/>
      <c r="H284" s="131"/>
      <c r="I284" s="46"/>
      <c r="J284" s="46">
        <f t="shared" si="116"/>
        <v>6.22</v>
      </c>
      <c r="K284" s="46"/>
      <c r="L284" s="46"/>
      <c r="M284" s="136"/>
      <c r="N284" s="63"/>
      <c r="O284" s="63"/>
      <c r="P284" s="63">
        <f t="shared" ref="P284:P285" si="119">D284*E284</f>
        <v>9.9700000000000006</v>
      </c>
      <c r="Q284" s="214">
        <f t="shared" ref="Q284:Q285" si="120">D284*E284</f>
        <v>9.9700000000000006</v>
      </c>
    </row>
    <row r="285" spans="2:17" ht="14.4" x14ac:dyDescent="0.25">
      <c r="B285" s="15" t="s">
        <v>158</v>
      </c>
      <c r="C285" s="73">
        <v>2.94</v>
      </c>
      <c r="D285" s="131">
        <v>7.3</v>
      </c>
      <c r="E285" s="33">
        <v>1</v>
      </c>
      <c r="F285" s="131"/>
      <c r="G285" s="131"/>
      <c r="H285" s="131"/>
      <c r="I285" s="46"/>
      <c r="J285" s="46">
        <f t="shared" si="116"/>
        <v>2.94</v>
      </c>
      <c r="K285" s="46"/>
      <c r="L285" s="46"/>
      <c r="M285" s="136"/>
      <c r="N285" s="63"/>
      <c r="O285" s="63"/>
      <c r="P285" s="63">
        <f t="shared" si="119"/>
        <v>7.3</v>
      </c>
      <c r="Q285" s="214">
        <f t="shared" si="120"/>
        <v>7.3</v>
      </c>
    </row>
    <row r="286" spans="2:17" ht="14.4" x14ac:dyDescent="0.25">
      <c r="B286" s="15" t="s">
        <v>258</v>
      </c>
      <c r="C286" s="73">
        <v>5.4</v>
      </c>
      <c r="D286" s="131">
        <v>9.4</v>
      </c>
      <c r="E286" s="33">
        <v>1</v>
      </c>
      <c r="F286" s="131"/>
      <c r="G286" s="131"/>
      <c r="H286" s="131"/>
      <c r="I286" s="46"/>
      <c r="J286" s="46"/>
      <c r="K286" s="46">
        <f>C286*E286</f>
        <v>5.4</v>
      </c>
      <c r="L286" s="46"/>
      <c r="M286" s="136"/>
      <c r="N286" s="63"/>
      <c r="O286" s="63"/>
      <c r="P286" s="63"/>
      <c r="Q286" s="78"/>
    </row>
    <row r="287" spans="2:17" ht="14.4" x14ac:dyDescent="0.25">
      <c r="B287" s="15" t="s">
        <v>259</v>
      </c>
      <c r="C287" s="73">
        <v>17.41</v>
      </c>
      <c r="D287" s="131">
        <v>17.48</v>
      </c>
      <c r="E287" s="33">
        <v>1</v>
      </c>
      <c r="F287" s="131"/>
      <c r="G287" s="131"/>
      <c r="H287" s="131"/>
      <c r="I287" s="46">
        <f>C287*E287</f>
        <v>17.41</v>
      </c>
      <c r="J287" s="46"/>
      <c r="K287" s="46"/>
      <c r="L287" s="46"/>
      <c r="M287" s="136"/>
      <c r="N287" s="63"/>
      <c r="O287" s="63"/>
      <c r="P287" s="63">
        <f t="shared" ref="P287" si="121">D287*E287</f>
        <v>17.48</v>
      </c>
      <c r="Q287" s="214">
        <f t="shared" ref="Q287" si="122">D287*E287</f>
        <v>17.48</v>
      </c>
    </row>
    <row r="288" spans="2:17" ht="14.4" x14ac:dyDescent="0.25">
      <c r="B288" s="15" t="s">
        <v>260</v>
      </c>
      <c r="C288" s="73">
        <v>4.59</v>
      </c>
      <c r="D288" s="131">
        <v>8.8000000000000007</v>
      </c>
      <c r="E288" s="33">
        <v>1</v>
      </c>
      <c r="F288" s="131"/>
      <c r="G288" s="131"/>
      <c r="H288" s="131"/>
      <c r="I288" s="46"/>
      <c r="J288" s="46">
        <f t="shared" ref="J288" si="123">C288*E288</f>
        <v>4.59</v>
      </c>
      <c r="K288" s="46"/>
      <c r="L288" s="46"/>
      <c r="M288" s="136"/>
      <c r="N288" s="63"/>
      <c r="O288" s="63"/>
      <c r="P288" s="63">
        <f t="shared" ref="P288" si="124">D288*E288</f>
        <v>8.8000000000000007</v>
      </c>
      <c r="Q288" s="214">
        <f t="shared" ref="Q288" si="125">D288*E288</f>
        <v>8.8000000000000007</v>
      </c>
    </row>
    <row r="289" spans="2:17" ht="14.4" x14ac:dyDescent="0.25">
      <c r="B289" s="15" t="s">
        <v>282</v>
      </c>
      <c r="C289" s="73">
        <v>4.59</v>
      </c>
      <c r="D289" s="131">
        <v>8.8000000000000007</v>
      </c>
      <c r="E289" s="33">
        <v>1</v>
      </c>
      <c r="F289" s="131"/>
      <c r="G289" s="131"/>
      <c r="H289" s="131"/>
      <c r="I289" s="46">
        <f>C289*E289</f>
        <v>4.59</v>
      </c>
      <c r="J289" s="46"/>
      <c r="K289" s="46"/>
      <c r="L289" s="46"/>
      <c r="M289" s="136"/>
      <c r="N289" s="63"/>
      <c r="O289" s="63"/>
      <c r="P289" s="63">
        <f t="shared" ref="P289:P293" si="126">D289*E289</f>
        <v>8.8000000000000007</v>
      </c>
      <c r="Q289" s="214">
        <f t="shared" ref="Q289:Q293" si="127">D289*E289</f>
        <v>8.8000000000000007</v>
      </c>
    </row>
    <row r="290" spans="2:17" ht="14.4" x14ac:dyDescent="0.25">
      <c r="B290" s="15" t="s">
        <v>261</v>
      </c>
      <c r="C290" s="73">
        <v>2.58</v>
      </c>
      <c r="D290" s="131">
        <v>6.6</v>
      </c>
      <c r="E290" s="33">
        <v>1</v>
      </c>
      <c r="F290" s="131"/>
      <c r="G290" s="131"/>
      <c r="H290" s="131"/>
      <c r="I290" s="46">
        <f>C290*E290</f>
        <v>2.58</v>
      </c>
      <c r="J290" s="46"/>
      <c r="K290" s="46"/>
      <c r="L290" s="46"/>
      <c r="M290" s="136"/>
      <c r="N290" s="63"/>
      <c r="O290" s="63"/>
      <c r="P290" s="63">
        <f t="shared" si="126"/>
        <v>6.6</v>
      </c>
      <c r="Q290" s="214">
        <f t="shared" si="127"/>
        <v>6.6</v>
      </c>
    </row>
    <row r="291" spans="2:17" ht="14.4" x14ac:dyDescent="0.25">
      <c r="B291" s="15" t="s">
        <v>262</v>
      </c>
      <c r="C291" s="73">
        <v>11.23</v>
      </c>
      <c r="D291" s="131">
        <f>13.6</f>
        <v>13.6</v>
      </c>
      <c r="E291" s="33">
        <v>1</v>
      </c>
      <c r="F291" s="131"/>
      <c r="G291" s="131"/>
      <c r="H291" s="131"/>
      <c r="I291" s="46">
        <f>C291*E291</f>
        <v>11.23</v>
      </c>
      <c r="J291" s="46"/>
      <c r="K291" s="46"/>
      <c r="L291" s="46"/>
      <c r="M291" s="136"/>
      <c r="N291" s="63"/>
      <c r="O291" s="63"/>
      <c r="P291" s="63">
        <f t="shared" si="126"/>
        <v>13.6</v>
      </c>
      <c r="Q291" s="214">
        <f t="shared" si="127"/>
        <v>13.6</v>
      </c>
    </row>
    <row r="292" spans="2:17" ht="14.4" x14ac:dyDescent="0.25">
      <c r="B292" s="15" t="s">
        <v>263</v>
      </c>
      <c r="C292" s="73">
        <v>5.18</v>
      </c>
      <c r="D292" s="131">
        <v>9.76</v>
      </c>
      <c r="E292" s="33">
        <v>1</v>
      </c>
      <c r="F292" s="131"/>
      <c r="G292" s="131"/>
      <c r="H292" s="131"/>
      <c r="I292" s="46">
        <f>C292*E292</f>
        <v>5.18</v>
      </c>
      <c r="J292" s="46"/>
      <c r="K292" s="46"/>
      <c r="L292" s="46"/>
      <c r="M292" s="136"/>
      <c r="N292" s="63"/>
      <c r="O292" s="63"/>
      <c r="P292" s="63">
        <f t="shared" si="126"/>
        <v>9.76</v>
      </c>
      <c r="Q292" s="214">
        <f t="shared" si="127"/>
        <v>9.76</v>
      </c>
    </row>
    <row r="293" spans="2:17" ht="14.4" x14ac:dyDescent="0.25">
      <c r="B293" s="15" t="s">
        <v>264</v>
      </c>
      <c r="C293" s="73">
        <v>16.16</v>
      </c>
      <c r="D293" s="131">
        <f>16.12</f>
        <v>16.12</v>
      </c>
      <c r="E293" s="33">
        <v>1</v>
      </c>
      <c r="F293" s="131"/>
      <c r="G293" s="131"/>
      <c r="H293" s="131"/>
      <c r="I293" s="46">
        <f>C293*E293</f>
        <v>16.16</v>
      </c>
      <c r="J293" s="46"/>
      <c r="K293" s="46"/>
      <c r="L293" s="46"/>
      <c r="M293" s="136"/>
      <c r="N293" s="63"/>
      <c r="O293" s="63"/>
      <c r="P293" s="63">
        <f t="shared" si="126"/>
        <v>16.12</v>
      </c>
      <c r="Q293" s="214">
        <f t="shared" si="127"/>
        <v>16.12</v>
      </c>
    </row>
    <row r="294" spans="2:17" ht="14.4" x14ac:dyDescent="0.25">
      <c r="B294" s="220" t="s">
        <v>177</v>
      </c>
      <c r="C294" s="222">
        <v>5.62</v>
      </c>
      <c r="D294" s="131">
        <v>10.130000000000001</v>
      </c>
      <c r="E294" s="33">
        <v>1</v>
      </c>
      <c r="F294" s="131"/>
      <c r="G294" s="131"/>
      <c r="H294" s="131"/>
      <c r="I294" s="46"/>
      <c r="J294" s="46"/>
      <c r="K294" s="46"/>
      <c r="L294" s="46"/>
      <c r="M294" s="136"/>
      <c r="N294" s="63"/>
      <c r="O294" s="63">
        <f>C294*E294</f>
        <v>5.62</v>
      </c>
      <c r="P294" s="63"/>
      <c r="Q294" s="78"/>
    </row>
    <row r="295" spans="2:17" ht="14.4" x14ac:dyDescent="0.25">
      <c r="B295" s="15" t="s">
        <v>265</v>
      </c>
      <c r="C295" s="73">
        <v>51.55</v>
      </c>
      <c r="D295" s="131">
        <v>31.63</v>
      </c>
      <c r="E295" s="33">
        <v>1</v>
      </c>
      <c r="F295" s="131"/>
      <c r="G295" s="131"/>
      <c r="H295" s="131"/>
      <c r="I295" s="46">
        <f t="shared" ref="I295:I299" si="128">C295*E295</f>
        <v>51.55</v>
      </c>
      <c r="J295" s="46"/>
      <c r="K295" s="46"/>
      <c r="L295" s="46"/>
      <c r="M295" s="136"/>
      <c r="N295" s="63"/>
      <c r="O295" s="63"/>
      <c r="P295" s="63">
        <f t="shared" ref="P295:P296" si="129">D295*E295</f>
        <v>31.63</v>
      </c>
      <c r="Q295" s="214">
        <f t="shared" ref="Q295:Q296" si="130">D295*E295</f>
        <v>31.63</v>
      </c>
    </row>
    <row r="296" spans="2:17" ht="14.4" x14ac:dyDescent="0.25">
      <c r="B296" s="15" t="s">
        <v>265</v>
      </c>
      <c r="C296" s="73">
        <v>48.78</v>
      </c>
      <c r="D296" s="131">
        <v>30.49</v>
      </c>
      <c r="E296" s="33">
        <v>1</v>
      </c>
      <c r="F296" s="131"/>
      <c r="G296" s="131"/>
      <c r="H296" s="131"/>
      <c r="I296" s="46">
        <f t="shared" si="128"/>
        <v>48.78</v>
      </c>
      <c r="J296" s="46"/>
      <c r="K296" s="46"/>
      <c r="L296" s="46"/>
      <c r="M296" s="136"/>
      <c r="N296" s="63"/>
      <c r="O296" s="63"/>
      <c r="P296" s="63">
        <f t="shared" si="129"/>
        <v>30.49</v>
      </c>
      <c r="Q296" s="214">
        <f t="shared" si="130"/>
        <v>30.49</v>
      </c>
    </row>
    <row r="297" spans="2:17" ht="14.4" x14ac:dyDescent="0.25">
      <c r="B297" s="15" t="s">
        <v>229</v>
      </c>
      <c r="C297" s="73">
        <v>2.4900000000000002</v>
      </c>
      <c r="D297" s="131">
        <v>10.97</v>
      </c>
      <c r="E297" s="33">
        <v>1</v>
      </c>
      <c r="F297" s="131"/>
      <c r="G297" s="131"/>
      <c r="H297" s="131"/>
      <c r="I297" s="46"/>
      <c r="J297" s="46"/>
      <c r="K297" s="46"/>
      <c r="L297" s="46"/>
      <c r="M297" s="136"/>
      <c r="N297" s="63"/>
      <c r="O297" s="63"/>
      <c r="P297" s="63"/>
      <c r="Q297" s="78"/>
    </row>
    <row r="298" spans="2:17" ht="14.4" x14ac:dyDescent="0.25">
      <c r="B298" s="220" t="s">
        <v>266</v>
      </c>
      <c r="C298" s="222">
        <v>28.38</v>
      </c>
      <c r="D298" s="131">
        <f>23.18</f>
        <v>23.18</v>
      </c>
      <c r="E298" s="33">
        <v>3</v>
      </c>
      <c r="F298" s="131"/>
      <c r="G298" s="131"/>
      <c r="H298" s="131"/>
      <c r="I298" s="46">
        <f t="shared" si="128"/>
        <v>85.14</v>
      </c>
      <c r="J298" s="46"/>
      <c r="K298" s="46"/>
      <c r="L298" s="46"/>
      <c r="M298" s="136"/>
      <c r="N298" s="63"/>
      <c r="O298" s="63"/>
      <c r="P298" s="63">
        <f t="shared" ref="P298:P299" si="131">D298*E298</f>
        <v>69.539999999999992</v>
      </c>
      <c r="Q298" s="214">
        <f t="shared" ref="Q298:Q299" si="132">D298*E298</f>
        <v>69.539999999999992</v>
      </c>
    </row>
    <row r="299" spans="2:17" ht="14.4" x14ac:dyDescent="0.25">
      <c r="B299" s="15" t="s">
        <v>267</v>
      </c>
      <c r="C299" s="73">
        <v>31.07</v>
      </c>
      <c r="D299" s="131">
        <f>24.58</f>
        <v>24.58</v>
      </c>
      <c r="E299" s="33">
        <v>5</v>
      </c>
      <c r="F299" s="131"/>
      <c r="G299" s="131"/>
      <c r="H299" s="131"/>
      <c r="I299" s="46">
        <f t="shared" si="128"/>
        <v>155.35</v>
      </c>
      <c r="J299" s="46"/>
      <c r="K299" s="46"/>
      <c r="L299" s="46"/>
      <c r="M299" s="136"/>
      <c r="N299" s="63"/>
      <c r="O299" s="63"/>
      <c r="P299" s="63">
        <f t="shared" si="131"/>
        <v>122.89999999999999</v>
      </c>
      <c r="Q299" s="214">
        <f t="shared" si="132"/>
        <v>122.89999999999999</v>
      </c>
    </row>
    <row r="300" spans="2:17" ht="14.4" x14ac:dyDescent="0.25">
      <c r="B300" s="15" t="s">
        <v>260</v>
      </c>
      <c r="C300" s="73">
        <v>4.46</v>
      </c>
      <c r="D300" s="131">
        <v>8.6999999999999993</v>
      </c>
      <c r="E300" s="33">
        <v>5</v>
      </c>
      <c r="F300" s="131"/>
      <c r="G300" s="131"/>
      <c r="H300" s="131"/>
      <c r="I300" s="46"/>
      <c r="J300" s="46">
        <f>C300*E300</f>
        <v>22.3</v>
      </c>
      <c r="K300" s="46"/>
      <c r="L300" s="46"/>
      <c r="M300" s="136"/>
      <c r="N300" s="63"/>
      <c r="O300" s="63"/>
      <c r="P300" s="63">
        <f t="shared" ref="P300:P302" si="133">D300*E300</f>
        <v>43.5</v>
      </c>
      <c r="Q300" s="214">
        <f t="shared" ref="Q300:Q302" si="134">D300*E300</f>
        <v>43.5</v>
      </c>
    </row>
    <row r="301" spans="2:17" ht="14.4" x14ac:dyDescent="0.25">
      <c r="B301" s="15" t="s">
        <v>260</v>
      </c>
      <c r="C301" s="73">
        <v>4.32</v>
      </c>
      <c r="D301" s="131">
        <v>8.6</v>
      </c>
      <c r="E301" s="33">
        <v>2</v>
      </c>
      <c r="F301" s="131"/>
      <c r="G301" s="131"/>
      <c r="H301" s="131"/>
      <c r="I301" s="46"/>
      <c r="J301" s="46">
        <f t="shared" ref="J301:J302" si="135">C301*E301</f>
        <v>8.64</v>
      </c>
      <c r="K301" s="46"/>
      <c r="L301" s="46"/>
      <c r="M301" s="136"/>
      <c r="N301" s="63"/>
      <c r="O301" s="63"/>
      <c r="P301" s="63">
        <f t="shared" si="133"/>
        <v>17.2</v>
      </c>
      <c r="Q301" s="214">
        <f t="shared" si="134"/>
        <v>17.2</v>
      </c>
    </row>
    <row r="302" spans="2:17" ht="14.4" x14ac:dyDescent="0.25">
      <c r="B302" s="15" t="s">
        <v>260</v>
      </c>
      <c r="C302" s="73">
        <v>4.59</v>
      </c>
      <c r="D302" s="131">
        <v>8.8000000000000007</v>
      </c>
      <c r="E302" s="33">
        <v>3</v>
      </c>
      <c r="F302" s="131"/>
      <c r="G302" s="131"/>
      <c r="H302" s="131"/>
      <c r="I302" s="46"/>
      <c r="J302" s="46">
        <f t="shared" si="135"/>
        <v>13.77</v>
      </c>
      <c r="K302" s="46"/>
      <c r="L302" s="46"/>
      <c r="M302" s="136"/>
      <c r="N302" s="63"/>
      <c r="O302" s="63"/>
      <c r="P302" s="63">
        <f t="shared" si="133"/>
        <v>26.400000000000002</v>
      </c>
      <c r="Q302" s="214">
        <f t="shared" si="134"/>
        <v>26.400000000000002</v>
      </c>
    </row>
    <row r="303" spans="2:17" ht="14.4" x14ac:dyDescent="0.25">
      <c r="B303" s="15" t="s">
        <v>268</v>
      </c>
      <c r="C303" s="73">
        <v>5.52</v>
      </c>
      <c r="D303" s="131">
        <f>9.46</f>
        <v>9.4600000000000009</v>
      </c>
      <c r="E303" s="33">
        <v>3</v>
      </c>
      <c r="F303" s="131"/>
      <c r="G303" s="131"/>
      <c r="H303" s="131"/>
      <c r="I303" s="46"/>
      <c r="J303" s="46"/>
      <c r="K303" s="46">
        <f>C303*E303</f>
        <v>16.559999999999999</v>
      </c>
      <c r="L303" s="46"/>
      <c r="M303" s="136"/>
      <c r="N303" s="63"/>
      <c r="O303" s="63"/>
      <c r="P303" s="63"/>
      <c r="Q303" s="78"/>
    </row>
    <row r="304" spans="2:17" ht="14.4" x14ac:dyDescent="0.25">
      <c r="B304" s="15" t="s">
        <v>268</v>
      </c>
      <c r="C304" s="73">
        <v>5.17</v>
      </c>
      <c r="D304" s="131">
        <f>9.45</f>
        <v>9.4499999999999993</v>
      </c>
      <c r="E304" s="33">
        <v>5</v>
      </c>
      <c r="F304" s="131"/>
      <c r="G304" s="131"/>
      <c r="H304" s="131"/>
      <c r="I304" s="46"/>
      <c r="J304" s="46"/>
      <c r="K304" s="46">
        <f>C304*E304</f>
        <v>25.85</v>
      </c>
      <c r="L304" s="46"/>
      <c r="M304" s="136"/>
      <c r="N304" s="63"/>
      <c r="O304" s="63"/>
      <c r="P304" s="63"/>
      <c r="Q304" s="78"/>
    </row>
    <row r="305" spans="1:18" ht="15" thickBot="1" x14ac:dyDescent="0.3">
      <c r="B305" s="279" t="s">
        <v>269</v>
      </c>
      <c r="C305" s="344">
        <v>2.84</v>
      </c>
      <c r="D305" s="328">
        <v>7.07</v>
      </c>
      <c r="E305" s="330">
        <v>1</v>
      </c>
      <c r="F305" s="328"/>
      <c r="G305" s="328"/>
      <c r="H305" s="328"/>
      <c r="I305" s="358">
        <f>C305*E305</f>
        <v>2.84</v>
      </c>
      <c r="J305" s="358"/>
      <c r="K305" s="358"/>
      <c r="L305" s="358"/>
      <c r="M305" s="359"/>
      <c r="N305" s="360"/>
      <c r="O305" s="360"/>
      <c r="P305" s="360">
        <f t="shared" ref="P305" si="136">D305*E305</f>
        <v>7.07</v>
      </c>
      <c r="Q305" s="362">
        <f t="shared" ref="Q305" si="137">D305*E305</f>
        <v>7.07</v>
      </c>
    </row>
    <row r="306" spans="1:18" ht="14.4" x14ac:dyDescent="0.25">
      <c r="B306" s="320" t="s">
        <v>374</v>
      </c>
      <c r="C306" s="351">
        <v>24.19</v>
      </c>
      <c r="D306" s="322">
        <v>31.57</v>
      </c>
      <c r="E306" s="29">
        <v>1</v>
      </c>
      <c r="F306" s="322"/>
      <c r="G306" s="131"/>
      <c r="H306" s="131"/>
      <c r="I306" s="354"/>
      <c r="J306" s="354"/>
      <c r="K306" s="354"/>
      <c r="L306" s="354"/>
      <c r="M306" s="355"/>
      <c r="N306" s="356"/>
      <c r="O306" s="356">
        <f>C306*E306</f>
        <v>24.19</v>
      </c>
      <c r="P306" s="356"/>
      <c r="Q306" s="132"/>
    </row>
    <row r="307" spans="1:18" ht="14.4" x14ac:dyDescent="0.25">
      <c r="B307" s="262" t="s">
        <v>177</v>
      </c>
      <c r="C307" s="73">
        <v>7</v>
      </c>
      <c r="D307" s="131">
        <v>11</v>
      </c>
      <c r="E307" s="29">
        <v>1</v>
      </c>
      <c r="F307" s="131"/>
      <c r="G307" s="131"/>
      <c r="H307" s="131"/>
      <c r="I307" s="46"/>
      <c r="J307" s="46"/>
      <c r="K307" s="46"/>
      <c r="L307" s="46"/>
      <c r="M307" s="136"/>
      <c r="N307" s="63"/>
      <c r="O307" s="356">
        <f t="shared" ref="O307:O309" si="138">C307*E307</f>
        <v>7</v>
      </c>
      <c r="P307" s="63"/>
      <c r="Q307" s="214"/>
    </row>
    <row r="308" spans="1:18" ht="14.4" x14ac:dyDescent="0.25">
      <c r="B308" s="260" t="s">
        <v>168</v>
      </c>
      <c r="C308" s="73">
        <v>7.95</v>
      </c>
      <c r="D308" s="131">
        <f>13.6-1.5</f>
        <v>12.1</v>
      </c>
      <c r="E308" s="29">
        <v>1</v>
      </c>
      <c r="F308" s="131"/>
      <c r="G308" s="131"/>
      <c r="H308" s="131"/>
      <c r="I308" s="46"/>
      <c r="J308" s="46"/>
      <c r="K308" s="46"/>
      <c r="L308" s="46"/>
      <c r="M308" s="136"/>
      <c r="N308" s="63"/>
      <c r="O308" s="356">
        <f t="shared" si="138"/>
        <v>7.95</v>
      </c>
      <c r="P308" s="63"/>
      <c r="Q308" s="214"/>
    </row>
    <row r="309" spans="1:18" ht="14.4" x14ac:dyDescent="0.25">
      <c r="B309" s="317" t="s">
        <v>377</v>
      </c>
      <c r="C309" s="222">
        <v>35</v>
      </c>
      <c r="D309" s="131">
        <v>24.5</v>
      </c>
      <c r="E309" s="29">
        <v>1</v>
      </c>
      <c r="F309" s="131"/>
      <c r="G309" s="131"/>
      <c r="H309" s="131"/>
      <c r="I309" s="46"/>
      <c r="J309" s="46"/>
      <c r="K309" s="46"/>
      <c r="L309" s="46"/>
      <c r="M309" s="136"/>
      <c r="N309" s="63"/>
      <c r="O309" s="356">
        <f t="shared" si="138"/>
        <v>35</v>
      </c>
      <c r="P309" s="63"/>
      <c r="Q309" s="214"/>
    </row>
    <row r="310" spans="1:18" ht="14.4" x14ac:dyDescent="0.25">
      <c r="B310" s="317" t="s">
        <v>378</v>
      </c>
      <c r="C310" s="222">
        <v>21.77</v>
      </c>
      <c r="D310" s="131">
        <f>18.72-9.35</f>
        <v>9.3699999999999992</v>
      </c>
      <c r="E310" s="29">
        <v>1</v>
      </c>
      <c r="F310" s="131"/>
      <c r="G310" s="131"/>
      <c r="H310" s="131"/>
      <c r="I310" s="46"/>
      <c r="J310" s="46"/>
      <c r="K310" s="46"/>
      <c r="L310" s="46"/>
      <c r="M310" s="136"/>
      <c r="N310" s="63">
        <f>C310*E310</f>
        <v>21.77</v>
      </c>
      <c r="O310" s="63"/>
      <c r="P310" s="63"/>
      <c r="Q310" s="214"/>
    </row>
    <row r="311" spans="1:18" ht="19.95" customHeight="1" x14ac:dyDescent="0.25">
      <c r="B311" s="134" t="s">
        <v>22</v>
      </c>
      <c r="C311" s="127">
        <f>SUM(C249:C310)</f>
        <v>792.33000000000027</v>
      </c>
      <c r="D311" s="127"/>
      <c r="E311" s="127"/>
      <c r="F311" s="127"/>
      <c r="G311" s="127">
        <f t="shared" ref="G311:Q311" si="139">SUM(G249:G310)</f>
        <v>0</v>
      </c>
      <c r="H311" s="127">
        <f t="shared" si="139"/>
        <v>0</v>
      </c>
      <c r="I311" s="127">
        <f t="shared" si="139"/>
        <v>641.54000000000008</v>
      </c>
      <c r="J311" s="127">
        <f t="shared" si="139"/>
        <v>76.17</v>
      </c>
      <c r="K311" s="127">
        <f t="shared" si="139"/>
        <v>127.46000000000001</v>
      </c>
      <c r="L311" s="127">
        <f t="shared" si="139"/>
        <v>19.600000000000001</v>
      </c>
      <c r="M311" s="127">
        <f t="shared" si="139"/>
        <v>0</v>
      </c>
      <c r="N311" s="127">
        <f t="shared" si="139"/>
        <v>21.77</v>
      </c>
      <c r="O311" s="127">
        <f t="shared" si="139"/>
        <v>123.24</v>
      </c>
      <c r="P311" s="127">
        <f t="shared" si="139"/>
        <v>768.34000000000015</v>
      </c>
      <c r="Q311" s="127">
        <f t="shared" si="139"/>
        <v>768.34000000000015</v>
      </c>
      <c r="R311" s="1"/>
    </row>
    <row r="312" spans="1:18" ht="19.95" customHeight="1" x14ac:dyDescent="0.25">
      <c r="B312" s="271"/>
      <c r="C312" s="272"/>
      <c r="D312" s="272"/>
      <c r="E312" s="127"/>
      <c r="F312" s="127"/>
      <c r="G312" s="127"/>
      <c r="H312" s="127"/>
      <c r="I312" s="258">
        <v>1</v>
      </c>
      <c r="J312" s="258">
        <v>2</v>
      </c>
      <c r="K312" s="224">
        <v>3</v>
      </c>
      <c r="L312" s="224">
        <v>4</v>
      </c>
      <c r="M312" s="224">
        <v>6</v>
      </c>
      <c r="N312" s="224">
        <v>7</v>
      </c>
      <c r="O312" s="224">
        <v>5</v>
      </c>
      <c r="P312" s="218" t="s">
        <v>194</v>
      </c>
      <c r="Q312" s="255"/>
      <c r="R312" s="1"/>
    </row>
    <row r="313" spans="1:18" ht="40.049999999999997" customHeight="1" x14ac:dyDescent="0.25">
      <c r="B313" s="852" t="s">
        <v>16</v>
      </c>
      <c r="C313" s="838" t="s">
        <v>17</v>
      </c>
      <c r="D313" s="838" t="s">
        <v>18</v>
      </c>
      <c r="E313" s="838" t="s">
        <v>19</v>
      </c>
      <c r="F313" s="842" t="s">
        <v>13</v>
      </c>
      <c r="G313" s="842" t="s">
        <v>24</v>
      </c>
      <c r="H313" s="842" t="s">
        <v>25</v>
      </c>
      <c r="I313" s="842" t="s">
        <v>82</v>
      </c>
      <c r="J313" s="842" t="s">
        <v>83</v>
      </c>
      <c r="K313" s="838" t="s">
        <v>84</v>
      </c>
      <c r="L313" s="838" t="s">
        <v>85</v>
      </c>
      <c r="M313" s="838" t="s">
        <v>86</v>
      </c>
      <c r="N313" s="848" t="s">
        <v>87</v>
      </c>
      <c r="O313" s="848" t="s">
        <v>88</v>
      </c>
      <c r="P313" s="848" t="s">
        <v>193</v>
      </c>
      <c r="Q313" s="848" t="s">
        <v>192</v>
      </c>
    </row>
    <row r="314" spans="1:18" ht="40.049999999999997" customHeight="1" x14ac:dyDescent="0.25">
      <c r="B314" s="843"/>
      <c r="C314" s="839"/>
      <c r="D314" s="839"/>
      <c r="E314" s="839"/>
      <c r="F314" s="842"/>
      <c r="G314" s="839"/>
      <c r="H314" s="839"/>
      <c r="I314" s="839"/>
      <c r="J314" s="839"/>
      <c r="K314" s="839"/>
      <c r="L314" s="839"/>
      <c r="M314" s="839"/>
      <c r="N314" s="849"/>
      <c r="O314" s="849"/>
      <c r="P314" s="849"/>
      <c r="Q314" s="849"/>
    </row>
    <row r="315" spans="1:18" ht="15.6" x14ac:dyDescent="0.25">
      <c r="A315" s="141" t="s">
        <v>89</v>
      </c>
      <c r="B315" s="59" t="s">
        <v>61</v>
      </c>
      <c r="C315" s="60"/>
      <c r="D315" s="60"/>
      <c r="E315" s="60"/>
      <c r="F315" s="60"/>
      <c r="G315" s="60"/>
      <c r="H315" s="60"/>
      <c r="I315" s="58"/>
      <c r="J315" s="58"/>
      <c r="K315" s="58"/>
      <c r="L315" s="58"/>
      <c r="M315" s="57"/>
      <c r="N315" s="61"/>
      <c r="O315" s="61"/>
      <c r="P315" s="61"/>
      <c r="Q315" s="61"/>
      <c r="R315" s="1"/>
    </row>
    <row r="316" spans="1:18" ht="14.4" x14ac:dyDescent="0.25">
      <c r="B316" s="15" t="s">
        <v>205</v>
      </c>
      <c r="C316" s="73">
        <v>19.14</v>
      </c>
      <c r="D316" s="131">
        <v>17.95</v>
      </c>
      <c r="E316" s="33">
        <v>1</v>
      </c>
      <c r="F316" s="131"/>
      <c r="G316" s="131"/>
      <c r="H316" s="131"/>
      <c r="I316" s="46">
        <f>C316*E316</f>
        <v>19.14</v>
      </c>
      <c r="J316" s="46"/>
      <c r="K316" s="46"/>
      <c r="L316" s="46"/>
      <c r="M316" s="136"/>
      <c r="N316" s="63"/>
      <c r="O316" s="63"/>
      <c r="P316" s="63">
        <f t="shared" ref="P316" si="140">D316*E316</f>
        <v>17.95</v>
      </c>
      <c r="Q316" s="214">
        <f t="shared" ref="Q316" si="141">D316*E316</f>
        <v>17.95</v>
      </c>
    </row>
    <row r="317" spans="1:18" ht="14.4" x14ac:dyDescent="0.25">
      <c r="B317" s="15" t="s">
        <v>205</v>
      </c>
      <c r="C317" s="73">
        <v>11.7</v>
      </c>
      <c r="D317" s="131">
        <v>13.74</v>
      </c>
      <c r="E317" s="33">
        <v>1</v>
      </c>
      <c r="F317" s="131"/>
      <c r="G317" s="131"/>
      <c r="H317" s="131"/>
      <c r="I317" s="46"/>
      <c r="J317" s="46"/>
      <c r="K317" s="46"/>
      <c r="L317" s="46">
        <f>C317*E317</f>
        <v>11.7</v>
      </c>
      <c r="M317" s="136"/>
      <c r="N317" s="63"/>
      <c r="O317" s="63"/>
      <c r="P317" s="63"/>
      <c r="Q317" s="223"/>
    </row>
    <row r="318" spans="1:18" ht="14.4" x14ac:dyDescent="0.25">
      <c r="B318" s="15" t="s">
        <v>229</v>
      </c>
      <c r="C318" s="73">
        <v>0.45</v>
      </c>
      <c r="D318" s="131">
        <v>3.86</v>
      </c>
      <c r="E318" s="33">
        <v>1</v>
      </c>
      <c r="F318" s="131"/>
      <c r="G318" s="131"/>
      <c r="H318" s="131"/>
      <c r="I318" s="46"/>
      <c r="J318" s="46"/>
      <c r="K318" s="46"/>
      <c r="L318" s="46"/>
      <c r="M318" s="136"/>
      <c r="N318" s="63"/>
      <c r="O318" s="63"/>
      <c r="P318" s="63"/>
      <c r="Q318" s="223"/>
    </row>
    <row r="319" spans="1:18" ht="14.4" x14ac:dyDescent="0.25">
      <c r="B319" s="220" t="s">
        <v>168</v>
      </c>
      <c r="C319" s="222">
        <v>23.89</v>
      </c>
      <c r="D319" s="131">
        <v>25.87</v>
      </c>
      <c r="E319" s="33">
        <v>1</v>
      </c>
      <c r="F319" s="131"/>
      <c r="G319" s="131"/>
      <c r="H319" s="131"/>
      <c r="I319" s="46">
        <f>C319*E319</f>
        <v>23.89</v>
      </c>
      <c r="J319" s="46"/>
      <c r="K319" s="46"/>
      <c r="L319" s="46"/>
      <c r="M319" s="136"/>
      <c r="N319" s="63"/>
      <c r="O319" s="63"/>
      <c r="P319" s="63">
        <f t="shared" ref="P319" si="142">D319*E319</f>
        <v>25.87</v>
      </c>
      <c r="Q319" s="214">
        <f t="shared" ref="Q319" si="143">D319*E319</f>
        <v>25.87</v>
      </c>
    </row>
    <row r="320" spans="1:18" ht="14.4" x14ac:dyDescent="0.25">
      <c r="B320" s="157" t="s">
        <v>168</v>
      </c>
      <c r="C320" s="73">
        <v>8.17</v>
      </c>
      <c r="D320" s="131">
        <v>12.48</v>
      </c>
      <c r="E320" s="33">
        <v>1</v>
      </c>
      <c r="F320" s="131"/>
      <c r="G320" s="131"/>
      <c r="H320" s="131"/>
      <c r="I320" s="46"/>
      <c r="J320" s="46"/>
      <c r="K320" s="46"/>
      <c r="L320" s="46">
        <f>C320*E320</f>
        <v>8.17</v>
      </c>
      <c r="M320" s="136"/>
      <c r="N320" s="63"/>
      <c r="O320" s="63"/>
      <c r="P320" s="63"/>
      <c r="Q320" s="223"/>
    </row>
    <row r="321" spans="2:17" ht="14.4" x14ac:dyDescent="0.25">
      <c r="B321" s="15" t="s">
        <v>229</v>
      </c>
      <c r="C321" s="73">
        <v>3.03</v>
      </c>
      <c r="D321" s="131">
        <v>8.51</v>
      </c>
      <c r="E321" s="33">
        <v>1</v>
      </c>
      <c r="F321" s="131"/>
      <c r="G321" s="131"/>
      <c r="H321" s="131"/>
      <c r="I321" s="46"/>
      <c r="J321" s="46"/>
      <c r="K321" s="46"/>
      <c r="L321" s="46"/>
      <c r="M321" s="136"/>
      <c r="N321" s="63"/>
      <c r="O321" s="63"/>
      <c r="P321" s="63"/>
      <c r="Q321" s="223"/>
    </row>
    <row r="322" spans="2:17" ht="14.4" x14ac:dyDescent="0.25">
      <c r="B322" s="15" t="s">
        <v>229</v>
      </c>
      <c r="C322" s="73">
        <v>1.1000000000000001</v>
      </c>
      <c r="D322" s="131">
        <v>7.44</v>
      </c>
      <c r="E322" s="33">
        <v>1</v>
      </c>
      <c r="F322" s="131"/>
      <c r="G322" s="131"/>
      <c r="H322" s="131"/>
      <c r="I322" s="46"/>
      <c r="J322" s="46"/>
      <c r="K322" s="46"/>
      <c r="L322" s="46"/>
      <c r="M322" s="136"/>
      <c r="N322" s="63"/>
      <c r="O322" s="63"/>
      <c r="P322" s="63"/>
      <c r="Q322" s="223"/>
    </row>
    <row r="323" spans="2:17" ht="14.4" x14ac:dyDescent="0.25">
      <c r="B323" s="15" t="s">
        <v>258</v>
      </c>
      <c r="C323" s="73">
        <v>6.8</v>
      </c>
      <c r="D323" s="131">
        <v>10.79</v>
      </c>
      <c r="E323" s="147">
        <v>1</v>
      </c>
      <c r="F323" s="131"/>
      <c r="G323" s="131"/>
      <c r="H323" s="131"/>
      <c r="I323" s="46">
        <f>C323*E323</f>
        <v>6.8</v>
      </c>
      <c r="J323" s="46"/>
      <c r="K323" s="46"/>
      <c r="L323" s="46"/>
      <c r="M323" s="136"/>
      <c r="N323" s="63"/>
      <c r="O323" s="63"/>
      <c r="P323" s="63">
        <f t="shared" ref="P323" si="144">D323*E323</f>
        <v>10.79</v>
      </c>
      <c r="Q323" s="214">
        <f t="shared" ref="Q323" si="145">D323*E323</f>
        <v>10.79</v>
      </c>
    </row>
    <row r="324" spans="2:17" ht="14.4" x14ac:dyDescent="0.25">
      <c r="B324" s="15" t="s">
        <v>270</v>
      </c>
      <c r="C324" s="73">
        <v>5.08</v>
      </c>
      <c r="D324" s="131">
        <v>6.5400000000000009</v>
      </c>
      <c r="E324" s="33">
        <v>1</v>
      </c>
      <c r="F324" s="131"/>
      <c r="G324" s="131"/>
      <c r="H324" s="131"/>
      <c r="I324" s="46">
        <f t="shared" ref="I324:I329" si="146">C324*E324</f>
        <v>5.08</v>
      </c>
      <c r="J324" s="46"/>
      <c r="K324" s="46"/>
      <c r="L324" s="46"/>
      <c r="M324" s="136"/>
      <c r="N324" s="63"/>
      <c r="O324" s="63"/>
      <c r="P324" s="63">
        <f t="shared" ref="P324:P325" si="147">D324*E324</f>
        <v>6.5400000000000009</v>
      </c>
      <c r="Q324" s="214">
        <f t="shared" ref="Q324:Q325" si="148">D324*E324</f>
        <v>6.5400000000000009</v>
      </c>
    </row>
    <row r="325" spans="2:17" ht="14.4" x14ac:dyDescent="0.25">
      <c r="B325" s="15" t="s">
        <v>247</v>
      </c>
      <c r="C325" s="73">
        <v>3.4</v>
      </c>
      <c r="D325" s="131">
        <v>5.2200000000000006</v>
      </c>
      <c r="E325" s="33">
        <v>1</v>
      </c>
      <c r="F325" s="131"/>
      <c r="G325" s="131"/>
      <c r="H325" s="131"/>
      <c r="I325" s="46">
        <f t="shared" si="146"/>
        <v>3.4</v>
      </c>
      <c r="J325" s="46"/>
      <c r="K325" s="46"/>
      <c r="L325" s="46"/>
      <c r="M325" s="136"/>
      <c r="N325" s="63"/>
      <c r="O325" s="63"/>
      <c r="P325" s="63">
        <f t="shared" si="147"/>
        <v>5.2200000000000006</v>
      </c>
      <c r="Q325" s="214">
        <f t="shared" si="148"/>
        <v>5.2200000000000006</v>
      </c>
    </row>
    <row r="326" spans="2:17" ht="14.4" x14ac:dyDescent="0.25">
      <c r="B326" s="15" t="s">
        <v>213</v>
      </c>
      <c r="C326" s="73">
        <v>3.69</v>
      </c>
      <c r="D326" s="131">
        <v>8.27</v>
      </c>
      <c r="E326" s="33">
        <v>1</v>
      </c>
      <c r="F326" s="131"/>
      <c r="G326" s="131"/>
      <c r="H326" s="131"/>
      <c r="I326" s="46"/>
      <c r="J326" s="46">
        <f>C326*E326</f>
        <v>3.69</v>
      </c>
      <c r="K326" s="46"/>
      <c r="L326" s="46"/>
      <c r="M326" s="136"/>
      <c r="N326" s="63"/>
      <c r="O326" s="63"/>
      <c r="P326" s="63">
        <f t="shared" ref="P326" si="149">D326*E326</f>
        <v>8.27</v>
      </c>
      <c r="Q326" s="214">
        <f t="shared" ref="Q326" si="150">D326*E326</f>
        <v>8.27</v>
      </c>
    </row>
    <row r="327" spans="2:17" ht="14.4" x14ac:dyDescent="0.25">
      <c r="B327" s="15" t="s">
        <v>271</v>
      </c>
      <c r="C327" s="73">
        <v>10.56</v>
      </c>
      <c r="D327" s="131">
        <v>15.34</v>
      </c>
      <c r="E327" s="33">
        <v>1</v>
      </c>
      <c r="F327" s="131"/>
      <c r="G327" s="131"/>
      <c r="H327" s="131"/>
      <c r="I327" s="46">
        <f t="shared" si="146"/>
        <v>10.56</v>
      </c>
      <c r="J327" s="46"/>
      <c r="K327" s="46"/>
      <c r="L327" s="46"/>
      <c r="M327" s="136"/>
      <c r="N327" s="63"/>
      <c r="O327" s="63"/>
      <c r="P327" s="63">
        <f t="shared" ref="P327:P329" si="151">D327*E327</f>
        <v>15.34</v>
      </c>
      <c r="Q327" s="214">
        <f t="shared" ref="Q327:Q329" si="152">D327*E327</f>
        <v>15.34</v>
      </c>
    </row>
    <row r="328" spans="2:17" ht="14.4" x14ac:dyDescent="0.25">
      <c r="B328" s="15" t="s">
        <v>272</v>
      </c>
      <c r="C328" s="73">
        <v>13.8</v>
      </c>
      <c r="D328" s="131">
        <v>15.46</v>
      </c>
      <c r="E328" s="33">
        <v>1</v>
      </c>
      <c r="F328" s="131"/>
      <c r="G328" s="131"/>
      <c r="H328" s="131"/>
      <c r="I328" s="46">
        <f t="shared" si="146"/>
        <v>13.8</v>
      </c>
      <c r="J328" s="46"/>
      <c r="K328" s="46"/>
      <c r="L328" s="46"/>
      <c r="M328" s="136"/>
      <c r="N328" s="63"/>
      <c r="O328" s="63"/>
      <c r="P328" s="63">
        <f t="shared" si="151"/>
        <v>15.46</v>
      </c>
      <c r="Q328" s="214">
        <f t="shared" si="152"/>
        <v>15.46</v>
      </c>
    </row>
    <row r="329" spans="2:17" ht="14.4" x14ac:dyDescent="0.25">
      <c r="B329" s="15" t="s">
        <v>273</v>
      </c>
      <c r="C329" s="73">
        <v>3.68</v>
      </c>
      <c r="D329" s="131">
        <v>8.33</v>
      </c>
      <c r="E329" s="33">
        <v>1</v>
      </c>
      <c r="F329" s="131"/>
      <c r="G329" s="131"/>
      <c r="H329" s="131"/>
      <c r="I329" s="46">
        <f t="shared" si="146"/>
        <v>3.68</v>
      </c>
      <c r="J329" s="46"/>
      <c r="K329" s="46"/>
      <c r="L329" s="46"/>
      <c r="M329" s="136"/>
      <c r="N329" s="63"/>
      <c r="O329" s="63"/>
      <c r="P329" s="63">
        <f t="shared" si="151"/>
        <v>8.33</v>
      </c>
      <c r="Q329" s="214">
        <f t="shared" si="152"/>
        <v>8.33</v>
      </c>
    </row>
    <row r="330" spans="2:17" ht="14.4" x14ac:dyDescent="0.25">
      <c r="B330" s="220" t="s">
        <v>168</v>
      </c>
      <c r="C330" s="222">
        <v>16</v>
      </c>
      <c r="D330" s="131">
        <v>17.55</v>
      </c>
      <c r="E330" s="33">
        <v>1</v>
      </c>
      <c r="F330" s="131"/>
      <c r="G330" s="131"/>
      <c r="H330" s="131"/>
      <c r="I330" s="46">
        <f>C330*E330</f>
        <v>16</v>
      </c>
      <c r="J330" s="46"/>
      <c r="K330" s="46"/>
      <c r="L330" s="46"/>
      <c r="M330" s="136"/>
      <c r="N330" s="63"/>
      <c r="O330" s="63"/>
      <c r="P330" s="63">
        <f t="shared" ref="P330:P331" si="153">D330*E330</f>
        <v>17.55</v>
      </c>
      <c r="Q330" s="214">
        <f t="shared" ref="Q330:Q331" si="154">D330*E330</f>
        <v>17.55</v>
      </c>
    </row>
    <row r="331" spans="2:17" ht="14.4" x14ac:dyDescent="0.25">
      <c r="B331" s="157" t="s">
        <v>168</v>
      </c>
      <c r="C331" s="73">
        <v>8.59</v>
      </c>
      <c r="D331" s="131">
        <v>16.239999999999998</v>
      </c>
      <c r="E331" s="33">
        <v>1</v>
      </c>
      <c r="F331" s="131"/>
      <c r="G331" s="131"/>
      <c r="H331" s="131"/>
      <c r="I331" s="46"/>
      <c r="J331" s="46"/>
      <c r="K331" s="46">
        <f>C331*E331</f>
        <v>8.59</v>
      </c>
      <c r="L331" s="46"/>
      <c r="M331" s="136"/>
      <c r="N331" s="63"/>
      <c r="O331" s="63"/>
      <c r="P331" s="63">
        <f t="shared" si="153"/>
        <v>16.239999999999998</v>
      </c>
      <c r="Q331" s="223">
        <f t="shared" si="154"/>
        <v>16.239999999999998</v>
      </c>
    </row>
    <row r="332" spans="2:17" ht="14.4" x14ac:dyDescent="0.25">
      <c r="B332" s="15" t="s">
        <v>245</v>
      </c>
      <c r="C332" s="73">
        <v>12.04</v>
      </c>
      <c r="D332" s="131">
        <v>15.85</v>
      </c>
      <c r="E332" s="33">
        <v>1</v>
      </c>
      <c r="F332" s="131"/>
      <c r="G332" s="131"/>
      <c r="H332" s="131"/>
      <c r="I332" s="46">
        <f>C332*E332</f>
        <v>12.04</v>
      </c>
      <c r="J332" s="46"/>
      <c r="K332" s="46"/>
      <c r="L332" s="46"/>
      <c r="M332" s="136"/>
      <c r="N332" s="63"/>
      <c r="O332" s="63"/>
      <c r="P332" s="63">
        <f t="shared" ref="P332:P335" si="155">D332*E332</f>
        <v>15.85</v>
      </c>
      <c r="Q332" s="214">
        <f t="shared" ref="Q332:Q335" si="156">D332*E332</f>
        <v>15.85</v>
      </c>
    </row>
    <row r="333" spans="2:17" ht="14.4" x14ac:dyDescent="0.25">
      <c r="B333" s="220" t="s">
        <v>274</v>
      </c>
      <c r="C333" s="222">
        <v>17.22</v>
      </c>
      <c r="D333" s="131">
        <v>17.38</v>
      </c>
      <c r="E333" s="33">
        <v>1</v>
      </c>
      <c r="F333" s="131"/>
      <c r="G333" s="131"/>
      <c r="H333" s="131"/>
      <c r="I333" s="46">
        <f t="shared" ref="I333:I335" si="157">C333*E333</f>
        <v>17.22</v>
      </c>
      <c r="J333" s="46"/>
      <c r="K333" s="46"/>
      <c r="L333" s="46"/>
      <c r="M333" s="136"/>
      <c r="N333" s="63"/>
      <c r="O333" s="63"/>
      <c r="P333" s="63">
        <f t="shared" si="155"/>
        <v>17.38</v>
      </c>
      <c r="Q333" s="214">
        <f t="shared" si="156"/>
        <v>17.38</v>
      </c>
    </row>
    <row r="334" spans="2:17" ht="14.4" x14ac:dyDescent="0.25">
      <c r="B334" s="15" t="s">
        <v>275</v>
      </c>
      <c r="C334" s="73">
        <v>17.22</v>
      </c>
      <c r="D334" s="131">
        <v>17.38</v>
      </c>
      <c r="E334" s="33">
        <v>1</v>
      </c>
      <c r="F334" s="131"/>
      <c r="G334" s="131"/>
      <c r="H334" s="131"/>
      <c r="I334" s="46">
        <f t="shared" si="157"/>
        <v>17.22</v>
      </c>
      <c r="J334" s="46"/>
      <c r="K334" s="46"/>
      <c r="L334" s="46"/>
      <c r="M334" s="136"/>
      <c r="N334" s="63"/>
      <c r="O334" s="63"/>
      <c r="P334" s="63">
        <f t="shared" si="155"/>
        <v>17.38</v>
      </c>
      <c r="Q334" s="214">
        <f t="shared" si="156"/>
        <v>17.38</v>
      </c>
    </row>
    <row r="335" spans="2:17" ht="14.4" x14ac:dyDescent="0.25">
      <c r="B335" s="15" t="s">
        <v>276</v>
      </c>
      <c r="C335" s="73">
        <v>20.72</v>
      </c>
      <c r="D335" s="131">
        <v>21.59</v>
      </c>
      <c r="E335" s="33">
        <v>1</v>
      </c>
      <c r="F335" s="131"/>
      <c r="G335" s="131"/>
      <c r="H335" s="131"/>
      <c r="I335" s="46">
        <f t="shared" si="157"/>
        <v>20.72</v>
      </c>
      <c r="J335" s="46"/>
      <c r="K335" s="46"/>
      <c r="L335" s="46"/>
      <c r="M335" s="136"/>
      <c r="N335" s="63"/>
      <c r="O335" s="63"/>
      <c r="P335" s="63">
        <f t="shared" si="155"/>
        <v>21.59</v>
      </c>
      <c r="Q335" s="214">
        <f t="shared" si="156"/>
        <v>21.59</v>
      </c>
    </row>
    <row r="336" spans="2:17" ht="14.4" x14ac:dyDescent="0.25">
      <c r="B336" s="15" t="s">
        <v>213</v>
      </c>
      <c r="C336" s="73">
        <v>5.85</v>
      </c>
      <c r="D336" s="131">
        <v>10.49</v>
      </c>
      <c r="E336" s="33">
        <v>1</v>
      </c>
      <c r="F336" s="131"/>
      <c r="G336" s="131"/>
      <c r="H336" s="131"/>
      <c r="I336" s="46"/>
      <c r="J336" s="46">
        <f>C336*E336</f>
        <v>5.85</v>
      </c>
      <c r="K336" s="46"/>
      <c r="L336" s="46"/>
      <c r="M336" s="136"/>
      <c r="N336" s="63"/>
      <c r="O336" s="63"/>
      <c r="P336" s="63">
        <f t="shared" ref="P336" si="158">D336*E336</f>
        <v>10.49</v>
      </c>
      <c r="Q336" s="214">
        <f t="shared" ref="Q336" si="159">D336*E336</f>
        <v>10.49</v>
      </c>
    </row>
    <row r="337" spans="2:17" ht="14.4" x14ac:dyDescent="0.25">
      <c r="B337" s="15" t="s">
        <v>279</v>
      </c>
      <c r="C337" s="73">
        <v>3.19</v>
      </c>
      <c r="D337" s="131">
        <v>7.3</v>
      </c>
      <c r="E337" s="33">
        <v>2</v>
      </c>
      <c r="F337" s="131"/>
      <c r="G337" s="131"/>
      <c r="H337" s="131"/>
      <c r="I337" s="46">
        <f>C337*E337</f>
        <v>6.38</v>
      </c>
      <c r="J337" s="46"/>
      <c r="K337" s="46"/>
      <c r="L337" s="46"/>
      <c r="M337" s="136"/>
      <c r="N337" s="63"/>
      <c r="O337" s="63"/>
      <c r="P337" s="63">
        <f t="shared" ref="P337" si="160">D337*E337</f>
        <v>14.6</v>
      </c>
      <c r="Q337" s="214">
        <f t="shared" ref="Q337" si="161">D337*E337</f>
        <v>14.6</v>
      </c>
    </row>
    <row r="338" spans="2:17" ht="14.4" x14ac:dyDescent="0.25">
      <c r="B338" s="220" t="s">
        <v>212</v>
      </c>
      <c r="C338" s="222">
        <v>4.4000000000000004</v>
      </c>
      <c r="D338" s="131">
        <v>8.5</v>
      </c>
      <c r="E338" s="33">
        <v>1</v>
      </c>
      <c r="F338" s="131"/>
      <c r="G338" s="131"/>
      <c r="H338" s="131"/>
      <c r="I338" s="46">
        <f t="shared" ref="I338:I341" si="162">C338*E338</f>
        <v>4.4000000000000004</v>
      </c>
      <c r="J338" s="46"/>
      <c r="K338" s="46"/>
      <c r="L338" s="46"/>
      <c r="M338" s="136"/>
      <c r="N338" s="63"/>
      <c r="O338" s="63"/>
      <c r="P338" s="63">
        <f t="shared" ref="P338:P339" si="163">D338*E338</f>
        <v>8.5</v>
      </c>
      <c r="Q338" s="214">
        <f t="shared" ref="Q338:Q339" si="164">D338*E338</f>
        <v>8.5</v>
      </c>
    </row>
    <row r="339" spans="2:17" ht="14.4" x14ac:dyDescent="0.25">
      <c r="B339" s="15" t="s">
        <v>212</v>
      </c>
      <c r="C339" s="73">
        <v>5.04</v>
      </c>
      <c r="D339" s="131">
        <v>9.1999999999999993</v>
      </c>
      <c r="E339" s="33">
        <v>1</v>
      </c>
      <c r="F339" s="131"/>
      <c r="G339" s="131"/>
      <c r="H339" s="131"/>
      <c r="I339" s="46">
        <f t="shared" si="162"/>
        <v>5.04</v>
      </c>
      <c r="J339" s="46"/>
      <c r="K339" s="46"/>
      <c r="L339" s="46"/>
      <c r="M339" s="136"/>
      <c r="N339" s="63"/>
      <c r="O339" s="63"/>
      <c r="P339" s="63">
        <f t="shared" si="163"/>
        <v>9.1999999999999993</v>
      </c>
      <c r="Q339" s="214">
        <f t="shared" si="164"/>
        <v>9.1999999999999993</v>
      </c>
    </row>
    <row r="340" spans="2:17" ht="14.4" x14ac:dyDescent="0.25">
      <c r="B340" s="15" t="s">
        <v>278</v>
      </c>
      <c r="C340" s="73">
        <v>2.64</v>
      </c>
      <c r="D340" s="131">
        <v>6.8</v>
      </c>
      <c r="E340" s="33">
        <v>2</v>
      </c>
      <c r="F340" s="131"/>
      <c r="G340" s="131"/>
      <c r="H340" s="131"/>
      <c r="I340" s="46"/>
      <c r="J340" s="46">
        <f>C340*E340</f>
        <v>5.28</v>
      </c>
      <c r="K340" s="46"/>
      <c r="L340" s="46"/>
      <c r="M340" s="136"/>
      <c r="N340" s="63"/>
      <c r="O340" s="63"/>
      <c r="P340" s="63">
        <f t="shared" ref="P340" si="165">D340*E340</f>
        <v>13.6</v>
      </c>
      <c r="Q340" s="214">
        <f t="shared" ref="Q340" si="166">D340*E340</f>
        <v>13.6</v>
      </c>
    </row>
    <row r="341" spans="2:17" ht="14.4" x14ac:dyDescent="0.25">
      <c r="B341" s="15" t="s">
        <v>246</v>
      </c>
      <c r="C341" s="73">
        <v>10.3</v>
      </c>
      <c r="D341" s="131">
        <f>9.1-2.35+4.54</f>
        <v>11.29</v>
      </c>
      <c r="E341" s="33">
        <v>1</v>
      </c>
      <c r="F341" s="131"/>
      <c r="G341" s="131"/>
      <c r="H341" s="131"/>
      <c r="I341" s="46">
        <f t="shared" si="162"/>
        <v>10.3</v>
      </c>
      <c r="J341" s="46"/>
      <c r="K341" s="46"/>
      <c r="L341" s="46"/>
      <c r="M341" s="136"/>
      <c r="N341" s="63"/>
      <c r="O341" s="63"/>
      <c r="P341" s="63">
        <f t="shared" ref="P341" si="167">D341*E341</f>
        <v>11.29</v>
      </c>
      <c r="Q341" s="214">
        <f t="shared" ref="Q341" si="168">D341*E341</f>
        <v>11.29</v>
      </c>
    </row>
    <row r="342" spans="2:17" ht="14.4" x14ac:dyDescent="0.25">
      <c r="B342" s="15" t="s">
        <v>213</v>
      </c>
      <c r="C342" s="73">
        <v>4.8</v>
      </c>
      <c r="D342" s="131">
        <v>9.0299999999999994</v>
      </c>
      <c r="E342" s="33">
        <v>1</v>
      </c>
      <c r="F342" s="131"/>
      <c r="G342" s="131"/>
      <c r="H342" s="131"/>
      <c r="I342" s="46"/>
      <c r="J342" s="46">
        <f>C342*E342</f>
        <v>4.8</v>
      </c>
      <c r="K342" s="46"/>
      <c r="L342" s="46"/>
      <c r="M342" s="136"/>
      <c r="N342" s="63"/>
      <c r="O342" s="63"/>
      <c r="P342" s="63">
        <f t="shared" ref="P342" si="169">D342*E342</f>
        <v>9.0299999999999994</v>
      </c>
      <c r="Q342" s="214">
        <f t="shared" ref="Q342" si="170">D342*E342</f>
        <v>9.0299999999999994</v>
      </c>
    </row>
    <row r="343" spans="2:17" ht="14.4" x14ac:dyDescent="0.25">
      <c r="B343" s="15" t="s">
        <v>280</v>
      </c>
      <c r="C343" s="73">
        <v>5.6</v>
      </c>
      <c r="D343" s="131">
        <v>9.6</v>
      </c>
      <c r="E343" s="33">
        <v>5</v>
      </c>
      <c r="F343" s="131"/>
      <c r="G343" s="131"/>
      <c r="H343" s="131"/>
      <c r="I343" s="46"/>
      <c r="J343" s="46"/>
      <c r="K343" s="46">
        <f>C343*E343</f>
        <v>28</v>
      </c>
      <c r="L343" s="46"/>
      <c r="M343" s="136"/>
      <c r="N343" s="63"/>
      <c r="O343" s="63"/>
      <c r="P343" s="63"/>
      <c r="Q343" s="223"/>
    </row>
    <row r="344" spans="2:17" ht="14.4" x14ac:dyDescent="0.25">
      <c r="B344" s="15" t="s">
        <v>213</v>
      </c>
      <c r="C344" s="73">
        <v>4.76</v>
      </c>
      <c r="D344" s="131">
        <v>9</v>
      </c>
      <c r="E344" s="33">
        <v>1</v>
      </c>
      <c r="F344" s="131"/>
      <c r="G344" s="131"/>
      <c r="H344" s="131"/>
      <c r="I344" s="46"/>
      <c r="J344" s="46">
        <f>C344*E344</f>
        <v>4.76</v>
      </c>
      <c r="K344" s="46"/>
      <c r="L344" s="46"/>
      <c r="M344" s="136"/>
      <c r="N344" s="63"/>
      <c r="O344" s="63"/>
      <c r="P344" s="63">
        <f t="shared" ref="P344:P345" si="171">D344*E344</f>
        <v>9</v>
      </c>
      <c r="Q344" s="214">
        <f t="shared" ref="Q344:Q345" si="172">D344*E344</f>
        <v>9</v>
      </c>
    </row>
    <row r="345" spans="2:17" ht="14.4" x14ac:dyDescent="0.25">
      <c r="B345" s="15" t="s">
        <v>213</v>
      </c>
      <c r="C345" s="73">
        <v>6.07</v>
      </c>
      <c r="D345" s="131">
        <v>9.89</v>
      </c>
      <c r="E345" s="33">
        <v>1</v>
      </c>
      <c r="F345" s="131"/>
      <c r="G345" s="131"/>
      <c r="H345" s="131"/>
      <c r="I345" s="46"/>
      <c r="J345" s="46">
        <f>C345*E345</f>
        <v>6.07</v>
      </c>
      <c r="K345" s="46"/>
      <c r="L345" s="46"/>
      <c r="M345" s="136"/>
      <c r="N345" s="63"/>
      <c r="O345" s="63"/>
      <c r="P345" s="63">
        <f t="shared" si="171"/>
        <v>9.89</v>
      </c>
      <c r="Q345" s="214">
        <f t="shared" si="172"/>
        <v>9.89</v>
      </c>
    </row>
    <row r="346" spans="2:17" ht="14.4" x14ac:dyDescent="0.25">
      <c r="B346" s="15" t="s">
        <v>281</v>
      </c>
      <c r="C346" s="73">
        <v>8.5399999999999991</v>
      </c>
      <c r="D346" s="131">
        <v>12.09</v>
      </c>
      <c r="E346" s="33">
        <v>1</v>
      </c>
      <c r="F346" s="131"/>
      <c r="G346" s="131"/>
      <c r="H346" s="131"/>
      <c r="I346" s="46"/>
      <c r="J346" s="46">
        <f>C346*E346</f>
        <v>8.5399999999999991</v>
      </c>
      <c r="K346" s="46"/>
      <c r="L346" s="46"/>
      <c r="M346" s="136"/>
      <c r="N346" s="63"/>
      <c r="O346" s="63"/>
      <c r="P346" s="63">
        <f t="shared" ref="P346" si="173">D346*E346</f>
        <v>12.09</v>
      </c>
      <c r="Q346" s="214">
        <f t="shared" ref="Q346" si="174">D346*E346</f>
        <v>12.09</v>
      </c>
    </row>
    <row r="347" spans="2:17" ht="14.4" x14ac:dyDescent="0.25">
      <c r="B347" s="15" t="s">
        <v>158</v>
      </c>
      <c r="C347" s="73">
        <v>2.81</v>
      </c>
      <c r="D347" s="131">
        <v>7.31</v>
      </c>
      <c r="E347" s="33">
        <v>1</v>
      </c>
      <c r="F347" s="131"/>
      <c r="G347" s="131"/>
      <c r="H347" s="131"/>
      <c r="I347" s="46"/>
      <c r="J347" s="46">
        <f>C347*E347</f>
        <v>2.81</v>
      </c>
      <c r="K347" s="46"/>
      <c r="L347" s="46"/>
      <c r="M347" s="136"/>
      <c r="N347" s="63"/>
      <c r="O347" s="63"/>
      <c r="P347" s="63">
        <f t="shared" ref="P347" si="175">D347*E347</f>
        <v>7.31</v>
      </c>
      <c r="Q347" s="214">
        <f t="shared" ref="Q347" si="176">D347*E347</f>
        <v>7.31</v>
      </c>
    </row>
    <row r="348" spans="2:17" ht="14.4" x14ac:dyDescent="0.25">
      <c r="B348" s="220" t="s">
        <v>168</v>
      </c>
      <c r="C348" s="222">
        <v>24.82</v>
      </c>
      <c r="D348" s="131">
        <f>32.2-(2.54+3.94)</f>
        <v>25.720000000000002</v>
      </c>
      <c r="E348" s="33">
        <v>1</v>
      </c>
      <c r="F348" s="131"/>
      <c r="G348" s="131"/>
      <c r="H348" s="131"/>
      <c r="I348" s="46">
        <f>C348*E348</f>
        <v>24.82</v>
      </c>
      <c r="J348" s="46"/>
      <c r="K348" s="46"/>
      <c r="L348" s="46"/>
      <c r="M348" s="136"/>
      <c r="N348" s="63"/>
      <c r="O348" s="63"/>
      <c r="P348" s="63">
        <f t="shared" ref="P348" si="177">D348*E348</f>
        <v>25.720000000000002</v>
      </c>
      <c r="Q348" s="214">
        <f t="shared" ref="Q348" si="178">D348*E348</f>
        <v>25.720000000000002</v>
      </c>
    </row>
    <row r="349" spans="2:17" ht="14.4" x14ac:dyDescent="0.25">
      <c r="B349" s="157" t="s">
        <v>168</v>
      </c>
      <c r="C349" s="73">
        <v>11.71</v>
      </c>
      <c r="D349" s="131">
        <v>23.74</v>
      </c>
      <c r="E349" s="33">
        <v>1</v>
      </c>
      <c r="F349" s="131"/>
      <c r="G349" s="131"/>
      <c r="H349" s="131"/>
      <c r="I349" s="46"/>
      <c r="J349" s="46"/>
      <c r="K349" s="46">
        <f>C349*E349</f>
        <v>11.71</v>
      </c>
      <c r="L349" s="46"/>
      <c r="M349" s="136"/>
      <c r="N349" s="63"/>
      <c r="O349" s="63"/>
      <c r="P349" s="63"/>
      <c r="Q349" s="223"/>
    </row>
    <row r="350" spans="2:17" ht="14.4" x14ac:dyDescent="0.25">
      <c r="B350" s="15" t="s">
        <v>168</v>
      </c>
      <c r="C350" s="73">
        <v>5.88</v>
      </c>
      <c r="D350" s="131">
        <v>11.88</v>
      </c>
      <c r="E350" s="33">
        <v>1</v>
      </c>
      <c r="F350" s="131"/>
      <c r="G350" s="131"/>
      <c r="H350" s="131"/>
      <c r="I350" s="46">
        <f>C350*E350</f>
        <v>5.88</v>
      </c>
      <c r="J350" s="46"/>
      <c r="K350" s="46"/>
      <c r="L350" s="46"/>
      <c r="M350" s="136"/>
      <c r="N350" s="63"/>
      <c r="O350" s="63"/>
      <c r="P350" s="63">
        <f t="shared" ref="P350" si="179">D350*E350</f>
        <v>11.88</v>
      </c>
      <c r="Q350" s="214">
        <f t="shared" ref="Q350" si="180">D350*E350</f>
        <v>11.88</v>
      </c>
    </row>
    <row r="351" spans="2:17" ht="14.4" x14ac:dyDescent="0.25">
      <c r="B351" s="15" t="s">
        <v>282</v>
      </c>
      <c r="C351" s="73">
        <v>5.46</v>
      </c>
      <c r="D351" s="131">
        <v>10.1</v>
      </c>
      <c r="E351" s="33">
        <v>1</v>
      </c>
      <c r="F351" s="131"/>
      <c r="G351" s="131"/>
      <c r="H351" s="131"/>
      <c r="I351" s="46">
        <f t="shared" ref="I351:I355" si="181">C351*E351</f>
        <v>5.46</v>
      </c>
      <c r="J351" s="46"/>
      <c r="K351" s="46"/>
      <c r="L351" s="46"/>
      <c r="M351" s="136"/>
      <c r="N351" s="63"/>
      <c r="O351" s="63"/>
      <c r="P351" s="63">
        <f t="shared" ref="P351:P352" si="182">D351*E351</f>
        <v>10.1</v>
      </c>
      <c r="Q351" s="214">
        <f t="shared" ref="Q351:Q352" si="183">D351*E351</f>
        <v>10.1</v>
      </c>
    </row>
    <row r="352" spans="2:17" ht="14.4" x14ac:dyDescent="0.25">
      <c r="B352" s="15" t="s">
        <v>282</v>
      </c>
      <c r="C352" s="73">
        <v>3.73</v>
      </c>
      <c r="D352" s="131">
        <v>7.98</v>
      </c>
      <c r="E352" s="33">
        <v>1</v>
      </c>
      <c r="F352" s="131"/>
      <c r="G352" s="131"/>
      <c r="H352" s="131"/>
      <c r="I352" s="46">
        <f t="shared" si="181"/>
        <v>3.73</v>
      </c>
      <c r="J352" s="46"/>
      <c r="K352" s="46"/>
      <c r="L352" s="46"/>
      <c r="M352" s="136"/>
      <c r="N352" s="63"/>
      <c r="O352" s="63"/>
      <c r="P352" s="63">
        <f t="shared" si="182"/>
        <v>7.98</v>
      </c>
      <c r="Q352" s="214">
        <f t="shared" si="183"/>
        <v>7.98</v>
      </c>
    </row>
    <row r="353" spans="2:17" ht="14.4" x14ac:dyDescent="0.25">
      <c r="B353" s="15" t="s">
        <v>213</v>
      </c>
      <c r="C353" s="73">
        <v>3.83</v>
      </c>
      <c r="D353" s="131">
        <v>8.48</v>
      </c>
      <c r="E353" s="33">
        <v>1</v>
      </c>
      <c r="F353" s="131"/>
      <c r="G353" s="131"/>
      <c r="H353" s="131"/>
      <c r="I353" s="46"/>
      <c r="J353" s="46">
        <f>C353*E353</f>
        <v>3.83</v>
      </c>
      <c r="K353" s="46"/>
      <c r="L353" s="46"/>
      <c r="M353" s="136"/>
      <c r="N353" s="63"/>
      <c r="O353" s="63"/>
      <c r="P353" s="63">
        <f t="shared" ref="P353" si="184">D353*E353</f>
        <v>8.48</v>
      </c>
      <c r="Q353" s="214">
        <f t="shared" ref="Q353" si="185">D353*E353</f>
        <v>8.48</v>
      </c>
    </row>
    <row r="354" spans="2:17" ht="14.4" x14ac:dyDescent="0.25">
      <c r="B354" s="15" t="s">
        <v>288</v>
      </c>
      <c r="C354" s="73">
        <v>5</v>
      </c>
      <c r="D354" s="131">
        <v>9</v>
      </c>
      <c r="E354" s="33">
        <v>1</v>
      </c>
      <c r="F354" s="131"/>
      <c r="G354" s="131"/>
      <c r="H354" s="131"/>
      <c r="I354" s="46">
        <f t="shared" si="181"/>
        <v>5</v>
      </c>
      <c r="J354" s="46"/>
      <c r="K354" s="46"/>
      <c r="L354" s="46"/>
      <c r="M354" s="136"/>
      <c r="N354" s="63"/>
      <c r="O354" s="63"/>
      <c r="P354" s="63">
        <f t="shared" ref="P354" si="186">D354*E354</f>
        <v>9</v>
      </c>
      <c r="Q354" s="214">
        <f t="shared" ref="Q354" si="187">D354*E354</f>
        <v>9</v>
      </c>
    </row>
    <row r="355" spans="2:17" ht="14.4" x14ac:dyDescent="0.25">
      <c r="B355" s="220" t="s">
        <v>168</v>
      </c>
      <c r="C355" s="222">
        <v>37.79</v>
      </c>
      <c r="D355" s="131">
        <f>37.71-4.7</f>
        <v>33.01</v>
      </c>
      <c r="E355" s="33">
        <v>1</v>
      </c>
      <c r="F355" s="131"/>
      <c r="G355" s="131"/>
      <c r="H355" s="131"/>
      <c r="I355" s="46">
        <f t="shared" si="181"/>
        <v>37.79</v>
      </c>
      <c r="J355" s="46"/>
      <c r="K355" s="46"/>
      <c r="L355" s="46"/>
      <c r="M355" s="136"/>
      <c r="N355" s="63"/>
      <c r="O355" s="63"/>
      <c r="P355" s="63">
        <f t="shared" ref="P355" si="188">D355*E355</f>
        <v>33.01</v>
      </c>
      <c r="Q355" s="214">
        <f t="shared" ref="Q355" si="189">D355*E355</f>
        <v>33.01</v>
      </c>
    </row>
    <row r="356" spans="2:17" ht="14.4" x14ac:dyDescent="0.25">
      <c r="B356" s="157" t="s">
        <v>168</v>
      </c>
      <c r="C356" s="73">
        <v>5.46</v>
      </c>
      <c r="D356" s="131">
        <v>11.24</v>
      </c>
      <c r="E356" s="33">
        <v>1</v>
      </c>
      <c r="F356" s="131"/>
      <c r="G356" s="131"/>
      <c r="H356" s="131"/>
      <c r="I356" s="46"/>
      <c r="J356" s="46"/>
      <c r="K356" s="46">
        <f>C356*E356</f>
        <v>5.46</v>
      </c>
      <c r="L356" s="46"/>
      <c r="M356" s="136"/>
      <c r="N356" s="63"/>
      <c r="O356" s="63"/>
      <c r="P356" s="63"/>
      <c r="Q356" s="223"/>
    </row>
    <row r="357" spans="2:17" ht="14.4" x14ac:dyDescent="0.25">
      <c r="B357" s="157" t="s">
        <v>168</v>
      </c>
      <c r="C357" s="73">
        <v>7.01</v>
      </c>
      <c r="D357" s="131">
        <v>11.24</v>
      </c>
      <c r="E357" s="33">
        <v>1</v>
      </c>
      <c r="F357" s="131"/>
      <c r="G357" s="131"/>
      <c r="H357" s="131"/>
      <c r="I357" s="46"/>
      <c r="J357" s="46"/>
      <c r="K357" s="46"/>
      <c r="L357" s="46">
        <f>C357*E357</f>
        <v>7.01</v>
      </c>
      <c r="M357" s="136"/>
      <c r="N357" s="63"/>
      <c r="O357" s="63"/>
      <c r="P357" s="63"/>
      <c r="Q357" s="223"/>
    </row>
    <row r="358" spans="2:17" ht="28.8" x14ac:dyDescent="0.25">
      <c r="B358" s="263" t="s">
        <v>283</v>
      </c>
      <c r="C358" s="222">
        <v>43.77</v>
      </c>
      <c r="D358" s="131">
        <v>32.700000000000003</v>
      </c>
      <c r="E358" s="33">
        <v>1</v>
      </c>
      <c r="F358" s="131"/>
      <c r="G358" s="131"/>
      <c r="H358" s="131"/>
      <c r="I358" s="46">
        <f>C358*E358</f>
        <v>43.77</v>
      </c>
      <c r="J358" s="46"/>
      <c r="K358" s="46"/>
      <c r="L358" s="46"/>
      <c r="M358" s="136"/>
      <c r="N358" s="63"/>
      <c r="O358" s="63"/>
      <c r="P358" s="63">
        <f t="shared" ref="P358" si="190">D358*E358</f>
        <v>32.700000000000003</v>
      </c>
      <c r="Q358" s="214">
        <f t="shared" ref="Q358" si="191">D358*E358</f>
        <v>32.700000000000003</v>
      </c>
    </row>
    <row r="359" spans="2:17" ht="28.8" x14ac:dyDescent="0.25">
      <c r="B359" s="273" t="s">
        <v>283</v>
      </c>
      <c r="C359" s="73">
        <v>16.39</v>
      </c>
      <c r="D359" s="131">
        <v>16.239999999999998</v>
      </c>
      <c r="E359" s="33">
        <v>1</v>
      </c>
      <c r="F359" s="131"/>
      <c r="G359" s="131"/>
      <c r="H359" s="131"/>
      <c r="I359" s="46"/>
      <c r="J359" s="46"/>
      <c r="K359" s="46"/>
      <c r="L359" s="46">
        <f>C359*E359</f>
        <v>16.39</v>
      </c>
      <c r="M359" s="136"/>
      <c r="N359" s="63"/>
      <c r="O359" s="63"/>
      <c r="P359" s="63"/>
      <c r="Q359" s="223"/>
    </row>
    <row r="360" spans="2:17" ht="14.4" x14ac:dyDescent="0.25">
      <c r="B360" s="15" t="s">
        <v>158</v>
      </c>
      <c r="C360" s="73">
        <v>3.58</v>
      </c>
      <c r="D360" s="131">
        <v>8.36</v>
      </c>
      <c r="E360" s="33">
        <v>1</v>
      </c>
      <c r="F360" s="131"/>
      <c r="G360" s="131"/>
      <c r="H360" s="131"/>
      <c r="I360" s="46"/>
      <c r="J360" s="46">
        <f>C360*E360</f>
        <v>3.58</v>
      </c>
      <c r="K360" s="46"/>
      <c r="L360" s="46"/>
      <c r="M360" s="136"/>
      <c r="N360" s="63"/>
      <c r="O360" s="63"/>
      <c r="P360" s="63">
        <f t="shared" ref="P360" si="192">D360*E360</f>
        <v>8.36</v>
      </c>
      <c r="Q360" s="214">
        <f t="shared" ref="Q360" si="193">D360*E360</f>
        <v>8.36</v>
      </c>
    </row>
    <row r="361" spans="2:17" ht="14.4" x14ac:dyDescent="0.25">
      <c r="B361" s="15" t="s">
        <v>280</v>
      </c>
      <c r="C361" s="73">
        <v>4.7300000000000004</v>
      </c>
      <c r="D361" s="131">
        <v>8.9</v>
      </c>
      <c r="E361" s="33">
        <v>2</v>
      </c>
      <c r="F361" s="131"/>
      <c r="G361" s="131"/>
      <c r="H361" s="131"/>
      <c r="I361" s="46"/>
      <c r="J361" s="46"/>
      <c r="K361" s="46">
        <f>C361*E361</f>
        <v>9.4600000000000009</v>
      </c>
      <c r="L361" s="46"/>
      <c r="M361" s="136"/>
      <c r="N361" s="63"/>
      <c r="O361" s="63"/>
      <c r="P361" s="63"/>
      <c r="Q361" s="223"/>
    </row>
    <row r="362" spans="2:17" ht="14.4" x14ac:dyDescent="0.25">
      <c r="B362" s="15" t="s">
        <v>213</v>
      </c>
      <c r="C362" s="73">
        <v>4.55</v>
      </c>
      <c r="D362" s="131">
        <v>8.85</v>
      </c>
      <c r="E362" s="33">
        <v>2</v>
      </c>
      <c r="F362" s="131"/>
      <c r="G362" s="131"/>
      <c r="H362" s="131"/>
      <c r="I362" s="46"/>
      <c r="J362" s="46">
        <f>C362*E362</f>
        <v>9.1</v>
      </c>
      <c r="K362" s="46"/>
      <c r="L362" s="46"/>
      <c r="M362" s="136"/>
      <c r="N362" s="63"/>
      <c r="O362" s="63"/>
      <c r="P362" s="63">
        <f t="shared" ref="P362" si="194">D362*E362</f>
        <v>17.7</v>
      </c>
      <c r="Q362" s="214">
        <f t="shared" ref="Q362" si="195">D362*E362</f>
        <v>17.7</v>
      </c>
    </row>
    <row r="363" spans="2:17" ht="14.4" x14ac:dyDescent="0.25">
      <c r="B363" s="15" t="s">
        <v>269</v>
      </c>
      <c r="C363" s="73">
        <v>2.66</v>
      </c>
      <c r="D363" s="131">
        <v>8.6</v>
      </c>
      <c r="E363" s="33">
        <v>1</v>
      </c>
      <c r="F363" s="131"/>
      <c r="G363" s="131"/>
      <c r="H363" s="131"/>
      <c r="I363" s="46">
        <f>C363*E363</f>
        <v>2.66</v>
      </c>
      <c r="J363" s="46"/>
      <c r="K363" s="46"/>
      <c r="L363" s="46"/>
      <c r="M363" s="136"/>
      <c r="N363" s="63"/>
      <c r="O363" s="63"/>
      <c r="P363" s="63">
        <f t="shared" ref="P363" si="196">D363*E363</f>
        <v>8.6</v>
      </c>
      <c r="Q363" s="214">
        <f t="shared" ref="Q363" si="197">D363*E363</f>
        <v>8.6</v>
      </c>
    </row>
    <row r="364" spans="2:17" ht="14.4" x14ac:dyDescent="0.25">
      <c r="B364" s="15" t="s">
        <v>213</v>
      </c>
      <c r="C364" s="73">
        <v>4.76</v>
      </c>
      <c r="D364" s="131">
        <v>9</v>
      </c>
      <c r="E364" s="33">
        <v>1</v>
      </c>
      <c r="F364" s="131"/>
      <c r="G364" s="131"/>
      <c r="H364" s="131"/>
      <c r="I364" s="46"/>
      <c r="J364" s="46">
        <f>C364*E364</f>
        <v>4.76</v>
      </c>
      <c r="K364" s="46"/>
      <c r="L364" s="46"/>
      <c r="M364" s="136"/>
      <c r="N364" s="63"/>
      <c r="O364" s="63"/>
      <c r="P364" s="63">
        <f t="shared" ref="P364" si="198">D364*E364</f>
        <v>9</v>
      </c>
      <c r="Q364" s="214">
        <f t="shared" ref="Q364" si="199">D364*E364</f>
        <v>9</v>
      </c>
    </row>
    <row r="365" spans="2:17" ht="14.4" x14ac:dyDescent="0.25">
      <c r="B365" s="15" t="s">
        <v>177</v>
      </c>
      <c r="C365" s="73">
        <v>16.07</v>
      </c>
      <c r="D365" s="131">
        <v>18.03</v>
      </c>
      <c r="E365" s="33">
        <v>1</v>
      </c>
      <c r="F365" s="131"/>
      <c r="G365" s="131"/>
      <c r="H365" s="131"/>
      <c r="I365" s="46"/>
      <c r="J365" s="46"/>
      <c r="K365" s="46"/>
      <c r="L365" s="46"/>
      <c r="M365" s="136"/>
      <c r="N365" s="63"/>
      <c r="O365" s="63">
        <f>C365*E365</f>
        <v>16.07</v>
      </c>
      <c r="P365" s="63"/>
      <c r="Q365" s="223"/>
    </row>
    <row r="366" spans="2:17" ht="14.4" x14ac:dyDescent="0.25">
      <c r="B366" s="15" t="s">
        <v>229</v>
      </c>
      <c r="C366" s="73">
        <v>1.6</v>
      </c>
      <c r="D366" s="131">
        <v>7.42</v>
      </c>
      <c r="E366" s="33">
        <v>1</v>
      </c>
      <c r="F366" s="131"/>
      <c r="G366" s="131"/>
      <c r="H366" s="131"/>
      <c r="I366" s="46"/>
      <c r="J366" s="46"/>
      <c r="K366" s="46"/>
      <c r="L366" s="46"/>
      <c r="M366" s="136"/>
      <c r="N366" s="63"/>
      <c r="O366" s="63"/>
      <c r="P366" s="63"/>
      <c r="Q366" s="223"/>
    </row>
    <row r="367" spans="2:17" ht="14.4" x14ac:dyDescent="0.25">
      <c r="B367" s="15" t="s">
        <v>284</v>
      </c>
      <c r="C367" s="73">
        <v>33.15</v>
      </c>
      <c r="D367" s="131">
        <v>28.22</v>
      </c>
      <c r="E367" s="33">
        <v>1</v>
      </c>
      <c r="F367" s="131"/>
      <c r="G367" s="131"/>
      <c r="H367" s="131"/>
      <c r="I367" s="46">
        <f>C367*E367</f>
        <v>33.15</v>
      </c>
      <c r="J367" s="46"/>
      <c r="K367" s="46"/>
      <c r="L367" s="46"/>
      <c r="M367" s="136"/>
      <c r="N367" s="63"/>
      <c r="O367" s="63"/>
      <c r="P367" s="63">
        <f t="shared" ref="P367:P368" si="200">D367*E367</f>
        <v>28.22</v>
      </c>
      <c r="Q367" s="214">
        <f t="shared" ref="Q367:Q368" si="201">D367*E367</f>
        <v>28.22</v>
      </c>
    </row>
    <row r="368" spans="2:17" ht="14.4" x14ac:dyDescent="0.25">
      <c r="B368" s="15" t="s">
        <v>285</v>
      </c>
      <c r="C368" s="73">
        <v>29.94</v>
      </c>
      <c r="D368" s="131">
        <v>27</v>
      </c>
      <c r="E368" s="33">
        <v>1</v>
      </c>
      <c r="F368" s="131"/>
      <c r="G368" s="131"/>
      <c r="H368" s="131"/>
      <c r="I368" s="46">
        <f>C368*E368</f>
        <v>29.94</v>
      </c>
      <c r="J368" s="46"/>
      <c r="K368" s="46"/>
      <c r="L368" s="46"/>
      <c r="M368" s="136"/>
      <c r="N368" s="63"/>
      <c r="O368" s="63"/>
      <c r="P368" s="63">
        <f t="shared" si="200"/>
        <v>27</v>
      </c>
      <c r="Q368" s="214">
        <f t="shared" si="201"/>
        <v>27</v>
      </c>
    </row>
    <row r="369" spans="2:17" ht="14.4" x14ac:dyDescent="0.25">
      <c r="B369" s="220" t="s">
        <v>286</v>
      </c>
      <c r="C369" s="222">
        <v>25.65</v>
      </c>
      <c r="D369" s="131">
        <v>22.2</v>
      </c>
      <c r="E369" s="33">
        <v>1</v>
      </c>
      <c r="F369" s="131"/>
      <c r="G369" s="131"/>
      <c r="H369" s="131"/>
      <c r="I369" s="46">
        <f>C369*E369</f>
        <v>25.65</v>
      </c>
      <c r="J369" s="46"/>
      <c r="K369" s="46"/>
      <c r="L369" s="46"/>
      <c r="M369" s="136"/>
      <c r="N369" s="63"/>
      <c r="O369" s="63"/>
      <c r="P369" s="63">
        <f t="shared" ref="P369" si="202">D369*E369</f>
        <v>22.2</v>
      </c>
      <c r="Q369" s="214">
        <f t="shared" ref="Q369" si="203">D369*E369</f>
        <v>22.2</v>
      </c>
    </row>
    <row r="370" spans="2:17" ht="14.4" x14ac:dyDescent="0.25">
      <c r="B370" s="15" t="s">
        <v>213</v>
      </c>
      <c r="C370" s="73">
        <v>6.15</v>
      </c>
      <c r="D370" s="131">
        <v>12.29</v>
      </c>
      <c r="E370" s="33">
        <v>1</v>
      </c>
      <c r="F370" s="131"/>
      <c r="G370" s="131"/>
      <c r="H370" s="131"/>
      <c r="I370" s="46"/>
      <c r="J370" s="46">
        <f>C370*E370</f>
        <v>6.15</v>
      </c>
      <c r="K370" s="46"/>
      <c r="L370" s="46"/>
      <c r="M370" s="136"/>
      <c r="N370" s="63"/>
      <c r="O370" s="63"/>
      <c r="P370" s="63">
        <f t="shared" ref="P370:P371" si="204">D370*E370</f>
        <v>12.29</v>
      </c>
      <c r="Q370" s="214">
        <f t="shared" ref="Q370:Q371" si="205">D370*E370</f>
        <v>12.29</v>
      </c>
    </row>
    <row r="371" spans="2:17" ht="14.4" x14ac:dyDescent="0.25">
      <c r="B371" s="15" t="s">
        <v>213</v>
      </c>
      <c r="C371" s="73">
        <v>4.59</v>
      </c>
      <c r="D371" s="131">
        <v>8.8000000000000007</v>
      </c>
      <c r="E371" s="33">
        <v>1</v>
      </c>
      <c r="F371" s="131"/>
      <c r="G371" s="131"/>
      <c r="H371" s="131"/>
      <c r="I371" s="46"/>
      <c r="J371" s="46">
        <f>C371*E371</f>
        <v>4.59</v>
      </c>
      <c r="K371" s="46"/>
      <c r="L371" s="46"/>
      <c r="M371" s="136"/>
      <c r="N371" s="63"/>
      <c r="O371" s="63"/>
      <c r="P371" s="63">
        <f t="shared" si="204"/>
        <v>8.8000000000000007</v>
      </c>
      <c r="Q371" s="214">
        <f t="shared" si="205"/>
        <v>8.8000000000000007</v>
      </c>
    </row>
    <row r="372" spans="2:17" ht="14.4" x14ac:dyDescent="0.25">
      <c r="B372" s="220" t="s">
        <v>246</v>
      </c>
      <c r="C372" s="222">
        <v>22.43</v>
      </c>
      <c r="D372" s="131">
        <v>12.170000000000002</v>
      </c>
      <c r="E372" s="33">
        <v>1</v>
      </c>
      <c r="F372" s="131"/>
      <c r="G372" s="131"/>
      <c r="H372" s="131"/>
      <c r="I372" s="46">
        <f t="shared" ref="I372:I373" si="206">C372*E372</f>
        <v>22.43</v>
      </c>
      <c r="J372" s="46"/>
      <c r="K372" s="46"/>
      <c r="L372" s="46"/>
      <c r="M372" s="136"/>
      <c r="N372" s="63"/>
      <c r="O372" s="63"/>
      <c r="P372" s="63">
        <f t="shared" ref="P372:P373" si="207">D372*E372</f>
        <v>12.170000000000002</v>
      </c>
      <c r="Q372" s="214">
        <f t="shared" ref="Q372:Q373" si="208">D372*E372</f>
        <v>12.170000000000002</v>
      </c>
    </row>
    <row r="373" spans="2:17" ht="14.4" x14ac:dyDescent="0.25">
      <c r="B373" s="15" t="s">
        <v>245</v>
      </c>
      <c r="C373" s="73">
        <v>12.85</v>
      </c>
      <c r="D373" s="131">
        <v>14.65</v>
      </c>
      <c r="E373" s="33">
        <v>1</v>
      </c>
      <c r="F373" s="131"/>
      <c r="G373" s="131"/>
      <c r="H373" s="131"/>
      <c r="I373" s="46">
        <f t="shared" si="206"/>
        <v>12.85</v>
      </c>
      <c r="J373" s="46"/>
      <c r="K373" s="46"/>
      <c r="L373" s="46"/>
      <c r="M373" s="136"/>
      <c r="N373" s="63"/>
      <c r="O373" s="63"/>
      <c r="P373" s="63">
        <f t="shared" si="207"/>
        <v>14.65</v>
      </c>
      <c r="Q373" s="214">
        <f t="shared" si="208"/>
        <v>14.65</v>
      </c>
    </row>
    <row r="374" spans="2:17" ht="14.4" x14ac:dyDescent="0.25">
      <c r="B374" s="15" t="s">
        <v>287</v>
      </c>
      <c r="C374" s="73">
        <v>24.35</v>
      </c>
      <c r="D374" s="131">
        <v>16.11</v>
      </c>
      <c r="E374" s="33">
        <v>1</v>
      </c>
      <c r="F374" s="131"/>
      <c r="G374" s="131"/>
      <c r="H374" s="131"/>
      <c r="I374" s="46">
        <f>C374*E374</f>
        <v>24.35</v>
      </c>
      <c r="J374" s="46"/>
      <c r="K374" s="46"/>
      <c r="L374" s="46"/>
      <c r="M374" s="136"/>
      <c r="N374" s="63"/>
      <c r="O374" s="63"/>
      <c r="P374" s="63">
        <f t="shared" ref="P374" si="209">D374*E374</f>
        <v>16.11</v>
      </c>
      <c r="Q374" s="214">
        <f t="shared" ref="Q374" si="210">D374*E374</f>
        <v>16.11</v>
      </c>
    </row>
    <row r="375" spans="2:17" ht="14.4" x14ac:dyDescent="0.25">
      <c r="B375" s="15" t="s">
        <v>287</v>
      </c>
      <c r="C375" s="73">
        <v>17.53</v>
      </c>
      <c r="D375" s="131">
        <v>17.48</v>
      </c>
      <c r="E375" s="33">
        <v>1</v>
      </c>
      <c r="F375" s="131"/>
      <c r="G375" s="131"/>
      <c r="H375" s="131"/>
      <c r="I375" s="46"/>
      <c r="J375" s="46"/>
      <c r="K375" s="46"/>
      <c r="L375" s="46">
        <f>C375*E375</f>
        <v>17.53</v>
      </c>
      <c r="M375" s="136"/>
      <c r="N375" s="63"/>
      <c r="O375" s="63"/>
      <c r="P375" s="63"/>
      <c r="Q375" s="223"/>
    </row>
    <row r="376" spans="2:17" ht="14.4" x14ac:dyDescent="0.25">
      <c r="B376" s="15" t="s">
        <v>213</v>
      </c>
      <c r="C376" s="73">
        <v>4.3499999999999996</v>
      </c>
      <c r="D376" s="131">
        <v>8.6199999999999992</v>
      </c>
      <c r="E376" s="33">
        <v>1</v>
      </c>
      <c r="F376" s="131"/>
      <c r="G376" s="131"/>
      <c r="H376" s="131"/>
      <c r="I376" s="46"/>
      <c r="J376" s="46">
        <f>C376*E376</f>
        <v>4.3499999999999996</v>
      </c>
      <c r="K376" s="46"/>
      <c r="L376" s="46"/>
      <c r="M376" s="136"/>
      <c r="N376" s="63"/>
      <c r="O376" s="63"/>
      <c r="P376" s="63">
        <f t="shared" ref="P376" si="211">D376*E376</f>
        <v>8.6199999999999992</v>
      </c>
      <c r="Q376" s="214">
        <f t="shared" ref="Q376" si="212">D376*E376</f>
        <v>8.6199999999999992</v>
      </c>
    </row>
    <row r="377" spans="2:17" ht="14.4" x14ac:dyDescent="0.25">
      <c r="B377" s="15" t="s">
        <v>248</v>
      </c>
      <c r="C377" s="73">
        <v>10.7</v>
      </c>
      <c r="D377" s="131">
        <v>14.3</v>
      </c>
      <c r="E377" s="33">
        <v>1</v>
      </c>
      <c r="F377" s="131"/>
      <c r="G377" s="131"/>
      <c r="H377" s="131"/>
      <c r="I377" s="46">
        <f t="shared" ref="I377:I378" si="213">C377*E377</f>
        <v>10.7</v>
      </c>
      <c r="J377" s="46"/>
      <c r="K377" s="46"/>
      <c r="L377" s="46"/>
      <c r="M377" s="136"/>
      <c r="N377" s="63"/>
      <c r="O377" s="63"/>
      <c r="P377" s="63">
        <f t="shared" ref="P377:P378" si="214">D377*E377</f>
        <v>14.3</v>
      </c>
      <c r="Q377" s="214">
        <f t="shared" ref="Q377:Q378" si="215">D377*E377</f>
        <v>14.3</v>
      </c>
    </row>
    <row r="378" spans="2:17" ht="14.4" x14ac:dyDescent="0.25">
      <c r="B378" s="15" t="s">
        <v>289</v>
      </c>
      <c r="C378" s="73">
        <v>8.48</v>
      </c>
      <c r="D378" s="131">
        <v>11.77</v>
      </c>
      <c r="E378" s="33">
        <v>1</v>
      </c>
      <c r="F378" s="131"/>
      <c r="G378" s="131"/>
      <c r="H378" s="131"/>
      <c r="I378" s="46">
        <f t="shared" si="213"/>
        <v>8.48</v>
      </c>
      <c r="J378" s="46"/>
      <c r="K378" s="46"/>
      <c r="L378" s="46"/>
      <c r="M378" s="136"/>
      <c r="N378" s="63"/>
      <c r="O378" s="63"/>
      <c r="P378" s="63">
        <f t="shared" si="214"/>
        <v>11.77</v>
      </c>
      <c r="Q378" s="214">
        <f t="shared" si="215"/>
        <v>11.77</v>
      </c>
    </row>
    <row r="379" spans="2:17" ht="14.4" x14ac:dyDescent="0.25">
      <c r="B379" s="15" t="s">
        <v>213</v>
      </c>
      <c r="C379" s="73">
        <v>4.41</v>
      </c>
      <c r="D379" s="131">
        <v>9.3800000000000008</v>
      </c>
      <c r="E379" s="33">
        <v>1</v>
      </c>
      <c r="F379" s="131"/>
      <c r="G379" s="131"/>
      <c r="H379" s="131"/>
      <c r="I379" s="46"/>
      <c r="J379" s="46">
        <f>C379*E379</f>
        <v>4.41</v>
      </c>
      <c r="K379" s="46"/>
      <c r="L379" s="46"/>
      <c r="M379" s="136"/>
      <c r="N379" s="63"/>
      <c r="O379" s="63"/>
      <c r="P379" s="63">
        <f t="shared" ref="P379" si="216">D379*E379</f>
        <v>9.3800000000000008</v>
      </c>
      <c r="Q379" s="214">
        <f t="shared" ref="Q379" si="217">D379*E379</f>
        <v>9.3800000000000008</v>
      </c>
    </row>
    <row r="380" spans="2:17" ht="14.4" x14ac:dyDescent="0.25">
      <c r="B380" s="15" t="s">
        <v>281</v>
      </c>
      <c r="C380" s="73">
        <v>7.79</v>
      </c>
      <c r="D380" s="131">
        <v>11.21</v>
      </c>
      <c r="E380" s="33">
        <v>1</v>
      </c>
      <c r="F380" s="131"/>
      <c r="G380" s="131"/>
      <c r="H380" s="131"/>
      <c r="I380" s="46"/>
      <c r="J380" s="46">
        <f>C380*E380</f>
        <v>7.79</v>
      </c>
      <c r="K380" s="46"/>
      <c r="L380" s="46"/>
      <c r="M380" s="136"/>
      <c r="N380" s="63"/>
      <c r="O380" s="63"/>
      <c r="P380" s="63">
        <f t="shared" ref="P380" si="218">D380*E380</f>
        <v>11.21</v>
      </c>
      <c r="Q380" s="214">
        <f t="shared" ref="Q380" si="219">D380*E380</f>
        <v>11.21</v>
      </c>
    </row>
    <row r="381" spans="2:17" ht="14.4" x14ac:dyDescent="0.25">
      <c r="B381" s="15" t="s">
        <v>294</v>
      </c>
      <c r="C381" s="73">
        <v>32.950000000000003</v>
      </c>
      <c r="D381" s="131">
        <v>30.61</v>
      </c>
      <c r="E381" s="33">
        <v>1</v>
      </c>
      <c r="F381" s="131"/>
      <c r="G381" s="131"/>
      <c r="H381" s="131"/>
      <c r="I381" s="46">
        <f>C381*E381</f>
        <v>32.950000000000003</v>
      </c>
      <c r="J381" s="46"/>
      <c r="K381" s="46"/>
      <c r="L381" s="46"/>
      <c r="M381" s="136"/>
      <c r="N381" s="63"/>
      <c r="O381" s="63"/>
      <c r="P381" s="63">
        <f t="shared" ref="P381:P385" si="220">D381*E381</f>
        <v>30.61</v>
      </c>
      <c r="Q381" s="214">
        <f t="shared" ref="Q381:Q385" si="221">D381*E381</f>
        <v>30.61</v>
      </c>
    </row>
    <row r="382" spans="2:17" ht="14.4" x14ac:dyDescent="0.25">
      <c r="B382" s="15" t="s">
        <v>290</v>
      </c>
      <c r="C382" s="73">
        <v>26.13</v>
      </c>
      <c r="D382" s="131">
        <v>21.93</v>
      </c>
      <c r="E382" s="33">
        <v>1</v>
      </c>
      <c r="F382" s="131"/>
      <c r="G382" s="131"/>
      <c r="H382" s="131"/>
      <c r="I382" s="46">
        <f t="shared" ref="I382:I385" si="222">C382*E382</f>
        <v>26.13</v>
      </c>
      <c r="J382" s="46"/>
      <c r="K382" s="46"/>
      <c r="L382" s="46"/>
      <c r="M382" s="136"/>
      <c r="N382" s="63"/>
      <c r="O382" s="63"/>
      <c r="P382" s="63">
        <f t="shared" si="220"/>
        <v>21.93</v>
      </c>
      <c r="Q382" s="214">
        <f t="shared" si="221"/>
        <v>21.93</v>
      </c>
    </row>
    <row r="383" spans="2:17" ht="14.4" x14ac:dyDescent="0.25">
      <c r="B383" s="15" t="s">
        <v>291</v>
      </c>
      <c r="C383" s="73">
        <v>24.71</v>
      </c>
      <c r="D383" s="131">
        <v>21.68</v>
      </c>
      <c r="E383" s="33">
        <v>1</v>
      </c>
      <c r="F383" s="131"/>
      <c r="G383" s="131"/>
      <c r="H383" s="131"/>
      <c r="I383" s="46">
        <f t="shared" si="222"/>
        <v>24.71</v>
      </c>
      <c r="J383" s="46"/>
      <c r="K383" s="46"/>
      <c r="L383" s="46"/>
      <c r="M383" s="136"/>
      <c r="N383" s="63"/>
      <c r="O383" s="63"/>
      <c r="P383" s="63">
        <f t="shared" si="220"/>
        <v>21.68</v>
      </c>
      <c r="Q383" s="214">
        <f t="shared" si="221"/>
        <v>21.68</v>
      </c>
    </row>
    <row r="384" spans="2:17" ht="14.4" x14ac:dyDescent="0.25">
      <c r="B384" s="15" t="s">
        <v>292</v>
      </c>
      <c r="C384" s="73">
        <v>21.07</v>
      </c>
      <c r="D384" s="131">
        <v>19.38</v>
      </c>
      <c r="E384" s="33">
        <v>1</v>
      </c>
      <c r="F384" s="131"/>
      <c r="G384" s="131"/>
      <c r="H384" s="131"/>
      <c r="I384" s="46">
        <f t="shared" si="222"/>
        <v>21.07</v>
      </c>
      <c r="J384" s="46"/>
      <c r="K384" s="46"/>
      <c r="L384" s="46"/>
      <c r="M384" s="136"/>
      <c r="N384" s="63"/>
      <c r="O384" s="63"/>
      <c r="P384" s="63">
        <f t="shared" si="220"/>
        <v>19.38</v>
      </c>
      <c r="Q384" s="214">
        <f t="shared" si="221"/>
        <v>19.38</v>
      </c>
    </row>
    <row r="385" spans="1:18" ht="14.4" x14ac:dyDescent="0.25">
      <c r="B385" s="15" t="s">
        <v>293</v>
      </c>
      <c r="C385" s="73">
        <v>23.85</v>
      </c>
      <c r="D385" s="131">
        <v>22.39</v>
      </c>
      <c r="E385" s="33">
        <v>1</v>
      </c>
      <c r="F385" s="131"/>
      <c r="G385" s="131"/>
      <c r="H385" s="131"/>
      <c r="I385" s="46">
        <f t="shared" si="222"/>
        <v>23.85</v>
      </c>
      <c r="J385" s="46"/>
      <c r="K385" s="46"/>
      <c r="L385" s="46"/>
      <c r="M385" s="136"/>
      <c r="N385" s="63"/>
      <c r="O385" s="63"/>
      <c r="P385" s="63">
        <f t="shared" si="220"/>
        <v>22.39</v>
      </c>
      <c r="Q385" s="214">
        <f t="shared" si="221"/>
        <v>22.39</v>
      </c>
    </row>
    <row r="386" spans="1:18" ht="14.4" x14ac:dyDescent="0.25">
      <c r="B386" s="15" t="s">
        <v>213</v>
      </c>
      <c r="C386" s="73">
        <v>6.34</v>
      </c>
      <c r="D386" s="131">
        <v>10.89</v>
      </c>
      <c r="E386" s="33">
        <v>1</v>
      </c>
      <c r="F386" s="131"/>
      <c r="G386" s="131"/>
      <c r="H386" s="131"/>
      <c r="I386" s="46"/>
      <c r="J386" s="46">
        <f>C386*E386</f>
        <v>6.34</v>
      </c>
      <c r="K386" s="46"/>
      <c r="L386" s="46"/>
      <c r="M386" s="136"/>
      <c r="N386" s="63"/>
      <c r="O386" s="63"/>
      <c r="P386" s="63">
        <f t="shared" ref="P386" si="223">D386*E386</f>
        <v>10.89</v>
      </c>
      <c r="Q386" s="214">
        <f t="shared" ref="Q386" si="224">D386*E386</f>
        <v>10.89</v>
      </c>
    </row>
    <row r="387" spans="1:18" ht="19.95" customHeight="1" x14ac:dyDescent="0.25">
      <c r="B387" s="134" t="s">
        <v>22</v>
      </c>
      <c r="C387" s="127">
        <f>SUM(C316:C386)</f>
        <v>826.50000000000023</v>
      </c>
      <c r="D387" s="127"/>
      <c r="E387" s="127"/>
      <c r="F387" s="127"/>
      <c r="G387" s="127">
        <f t="shared" ref="G387:Q387" si="225">SUM(G316:G386)</f>
        <v>0</v>
      </c>
      <c r="H387" s="127">
        <f t="shared" si="225"/>
        <v>0</v>
      </c>
      <c r="I387" s="127">
        <f t="shared" si="225"/>
        <v>621.04000000000008</v>
      </c>
      <c r="J387" s="127">
        <f t="shared" si="225"/>
        <v>96.7</v>
      </c>
      <c r="K387" s="127">
        <f t="shared" si="225"/>
        <v>63.220000000000006</v>
      </c>
      <c r="L387" s="127">
        <f t="shared" si="225"/>
        <v>60.8</v>
      </c>
      <c r="M387" s="127">
        <f t="shared" si="225"/>
        <v>0</v>
      </c>
      <c r="N387" s="127">
        <f t="shared" si="225"/>
        <v>0</v>
      </c>
      <c r="O387" s="127">
        <f t="shared" si="225"/>
        <v>16.07</v>
      </c>
      <c r="P387" s="127">
        <f t="shared" si="225"/>
        <v>840.88999999999987</v>
      </c>
      <c r="Q387" s="127">
        <f t="shared" si="225"/>
        <v>840.88999999999987</v>
      </c>
      <c r="R387" s="1"/>
    </row>
    <row r="388" spans="1:18" ht="19.95" customHeight="1" x14ac:dyDescent="0.25">
      <c r="B388" s="271"/>
      <c r="C388" s="272"/>
      <c r="D388" s="272"/>
      <c r="E388" s="127"/>
      <c r="F388" s="127"/>
      <c r="G388" s="127"/>
      <c r="H388" s="127"/>
      <c r="I388" s="258">
        <v>1</v>
      </c>
      <c r="J388" s="258">
        <v>2</v>
      </c>
      <c r="K388" s="258">
        <v>3</v>
      </c>
      <c r="L388" s="224">
        <v>4</v>
      </c>
      <c r="M388" s="224">
        <v>6</v>
      </c>
      <c r="N388" s="224">
        <v>7</v>
      </c>
      <c r="O388" s="224">
        <v>5</v>
      </c>
      <c r="P388" s="218" t="s">
        <v>194</v>
      </c>
      <c r="Q388" s="255"/>
      <c r="R388" s="1"/>
    </row>
    <row r="389" spans="1:18" ht="40.049999999999997" customHeight="1" x14ac:dyDescent="0.25">
      <c r="B389" s="843" t="s">
        <v>16</v>
      </c>
      <c r="C389" s="839" t="s">
        <v>17</v>
      </c>
      <c r="D389" s="839" t="s">
        <v>18</v>
      </c>
      <c r="E389" s="842" t="s">
        <v>19</v>
      </c>
      <c r="F389" s="842" t="s">
        <v>13</v>
      </c>
      <c r="G389" s="842" t="s">
        <v>24</v>
      </c>
      <c r="H389" s="842" t="s">
        <v>25</v>
      </c>
      <c r="I389" s="842" t="s">
        <v>82</v>
      </c>
      <c r="J389" s="842" t="s">
        <v>83</v>
      </c>
      <c r="K389" s="842" t="s">
        <v>84</v>
      </c>
      <c r="L389" s="838" t="s">
        <v>85</v>
      </c>
      <c r="M389" s="838" t="s">
        <v>86</v>
      </c>
      <c r="N389" s="848" t="s">
        <v>87</v>
      </c>
      <c r="O389" s="848" t="s">
        <v>88</v>
      </c>
      <c r="P389" s="848" t="s">
        <v>193</v>
      </c>
      <c r="Q389" s="848" t="s">
        <v>192</v>
      </c>
    </row>
    <row r="390" spans="1:18" ht="40.049999999999997" customHeight="1" x14ac:dyDescent="0.25">
      <c r="B390" s="852"/>
      <c r="C390" s="838"/>
      <c r="D390" s="838"/>
      <c r="E390" s="842"/>
      <c r="F390" s="842"/>
      <c r="G390" s="839"/>
      <c r="H390" s="839"/>
      <c r="I390" s="839"/>
      <c r="J390" s="839"/>
      <c r="K390" s="839"/>
      <c r="L390" s="839"/>
      <c r="M390" s="839"/>
      <c r="N390" s="849"/>
      <c r="O390" s="849"/>
      <c r="P390" s="849"/>
      <c r="Q390" s="849"/>
    </row>
    <row r="391" spans="1:18" ht="15.6" x14ac:dyDescent="0.25">
      <c r="A391" s="141" t="s">
        <v>89</v>
      </c>
      <c r="B391" s="59" t="s">
        <v>62</v>
      </c>
      <c r="C391" s="60"/>
      <c r="D391" s="60"/>
      <c r="E391" s="60"/>
      <c r="F391" s="60"/>
      <c r="G391" s="60"/>
      <c r="H391" s="60"/>
      <c r="I391" s="58"/>
      <c r="J391" s="58"/>
      <c r="K391" s="58"/>
      <c r="L391" s="58"/>
      <c r="M391" s="57"/>
      <c r="N391" s="61"/>
      <c r="O391" s="61"/>
      <c r="P391" s="61"/>
      <c r="Q391" s="61"/>
      <c r="R391" s="1"/>
    </row>
    <row r="392" spans="1:18" ht="14.4" x14ac:dyDescent="0.25">
      <c r="A392" s="141"/>
      <c r="B392" s="220" t="s">
        <v>168</v>
      </c>
      <c r="C392" s="603">
        <v>11.67</v>
      </c>
      <c r="D392" s="576">
        <v>14.83</v>
      </c>
      <c r="E392" s="33">
        <v>1</v>
      </c>
      <c r="F392" s="574"/>
      <c r="G392" s="574"/>
      <c r="H392" s="574"/>
      <c r="I392" s="580"/>
      <c r="J392" s="580"/>
      <c r="K392" s="605">
        <f>C392*E392</f>
        <v>11.67</v>
      </c>
      <c r="L392" s="580"/>
      <c r="M392" s="581"/>
      <c r="N392" s="582"/>
      <c r="O392" s="582"/>
      <c r="P392" s="582"/>
      <c r="Q392" s="582"/>
    </row>
    <row r="393" spans="1:18" ht="14.4" x14ac:dyDescent="0.25">
      <c r="A393" s="141"/>
      <c r="B393" s="220" t="s">
        <v>258</v>
      </c>
      <c r="C393" s="603">
        <v>33.630000000000003</v>
      </c>
      <c r="D393" s="576">
        <v>31.16</v>
      </c>
      <c r="E393" s="33">
        <v>1</v>
      </c>
      <c r="F393" s="574"/>
      <c r="G393" s="574"/>
      <c r="H393" s="574"/>
      <c r="I393" s="580"/>
      <c r="J393" s="580"/>
      <c r="K393" s="605">
        <f>C393*E393</f>
        <v>33.630000000000003</v>
      </c>
      <c r="L393" s="580"/>
      <c r="M393" s="581"/>
      <c r="N393" s="582"/>
      <c r="O393" s="582"/>
      <c r="P393" s="582"/>
      <c r="Q393" s="582"/>
    </row>
    <row r="394" spans="1:18" ht="14.4" x14ac:dyDescent="0.25">
      <c r="A394" s="141"/>
      <c r="B394" s="157" t="s">
        <v>346</v>
      </c>
      <c r="C394" s="566">
        <v>43.48</v>
      </c>
      <c r="D394" s="576">
        <v>27.85</v>
      </c>
      <c r="E394" s="33">
        <v>1</v>
      </c>
      <c r="F394" s="574"/>
      <c r="G394" s="574"/>
      <c r="H394" s="574"/>
      <c r="I394" s="580"/>
      <c r="J394" s="580"/>
      <c r="K394" s="580"/>
      <c r="L394" s="580"/>
      <c r="M394" s="581"/>
      <c r="N394" s="582"/>
      <c r="O394" s="605">
        <f>C394*E394</f>
        <v>43.48</v>
      </c>
      <c r="P394" s="582"/>
      <c r="Q394" s="582"/>
    </row>
    <row r="395" spans="1:18" ht="14.4" x14ac:dyDescent="0.25">
      <c r="A395" s="141"/>
      <c r="B395" s="157" t="s">
        <v>724</v>
      </c>
      <c r="C395" s="566">
        <v>7.45</v>
      </c>
      <c r="D395" s="576">
        <v>10.93</v>
      </c>
      <c r="E395" s="33">
        <v>1</v>
      </c>
      <c r="F395" s="574"/>
      <c r="G395" s="574"/>
      <c r="H395" s="574"/>
      <c r="I395" s="580"/>
      <c r="J395" s="580"/>
      <c r="K395" s="580"/>
      <c r="L395" s="580"/>
      <c r="M395" s="581"/>
      <c r="N395" s="582"/>
      <c r="O395" s="582"/>
      <c r="P395" s="582"/>
      <c r="Q395" s="582"/>
    </row>
    <row r="396" spans="1:18" ht="14.4" x14ac:dyDescent="0.25">
      <c r="A396" s="141"/>
      <c r="B396" s="157" t="s">
        <v>725</v>
      </c>
      <c r="C396" s="566">
        <v>8.23</v>
      </c>
      <c r="D396" s="576">
        <v>11.56</v>
      </c>
      <c r="E396" s="33">
        <v>1</v>
      </c>
      <c r="F396" s="574"/>
      <c r="G396" s="574"/>
      <c r="H396" s="574"/>
      <c r="I396" s="580"/>
      <c r="J396" s="580"/>
      <c r="K396" s="580"/>
      <c r="L396" s="580"/>
      <c r="M396" s="581"/>
      <c r="N396" s="582"/>
      <c r="O396" s="582"/>
      <c r="P396" s="582"/>
      <c r="Q396" s="582"/>
    </row>
    <row r="397" spans="1:18" ht="14.4" x14ac:dyDescent="0.25">
      <c r="A397" s="141"/>
      <c r="B397" s="157" t="s">
        <v>726</v>
      </c>
      <c r="C397" s="186">
        <v>3.9</v>
      </c>
      <c r="D397" s="576">
        <v>8.33</v>
      </c>
      <c r="E397" s="33">
        <v>1</v>
      </c>
      <c r="F397" s="574"/>
      <c r="G397" s="574"/>
      <c r="H397" s="574"/>
      <c r="I397" s="580"/>
      <c r="J397" s="580"/>
      <c r="K397" s="580"/>
      <c r="L397" s="580"/>
      <c r="M397" s="581"/>
      <c r="N397" s="582"/>
      <c r="O397" s="582"/>
      <c r="P397" s="582"/>
      <c r="Q397" s="582"/>
    </row>
    <row r="398" spans="1:18" ht="14.4" x14ac:dyDescent="0.25">
      <c r="B398" s="220" t="s">
        <v>295</v>
      </c>
      <c r="C398" s="222">
        <v>26.2</v>
      </c>
      <c r="D398" s="131">
        <v>23.96</v>
      </c>
      <c r="E398" s="33">
        <v>1</v>
      </c>
      <c r="F398" s="131"/>
      <c r="G398" s="131"/>
      <c r="H398" s="131"/>
      <c r="I398" s="46">
        <f>C398*E398</f>
        <v>26.2</v>
      </c>
      <c r="J398" s="46"/>
      <c r="K398" s="46"/>
      <c r="L398" s="46"/>
      <c r="M398" s="136"/>
      <c r="N398" s="63"/>
      <c r="O398" s="63"/>
      <c r="P398" s="63">
        <f t="shared" ref="P398" si="226">D398*E398</f>
        <v>23.96</v>
      </c>
      <c r="Q398" s="214">
        <f t="shared" ref="Q398" si="227">D398*E398</f>
        <v>23.96</v>
      </c>
    </row>
    <row r="399" spans="1:18" ht="14.4" x14ac:dyDescent="0.25">
      <c r="B399" s="157" t="s">
        <v>295</v>
      </c>
      <c r="C399" s="73">
        <v>10.58</v>
      </c>
      <c r="D399" s="131">
        <v>11.26</v>
      </c>
      <c r="E399" s="33">
        <v>1</v>
      </c>
      <c r="F399" s="131"/>
      <c r="G399" s="131"/>
      <c r="H399" s="131"/>
      <c r="I399" s="46"/>
      <c r="J399" s="46"/>
      <c r="K399" s="46"/>
      <c r="L399" s="46">
        <f>C399*E399</f>
        <v>10.58</v>
      </c>
      <c r="M399" s="136"/>
      <c r="N399" s="63"/>
      <c r="O399" s="63"/>
      <c r="P399" s="63"/>
      <c r="Q399" s="214"/>
    </row>
    <row r="400" spans="1:18" ht="14.4" x14ac:dyDescent="0.25">
      <c r="B400" s="15" t="s">
        <v>229</v>
      </c>
      <c r="C400" s="73">
        <v>0.45</v>
      </c>
      <c r="D400" s="131">
        <v>3.86</v>
      </c>
      <c r="E400" s="33">
        <v>1</v>
      </c>
      <c r="F400" s="131"/>
      <c r="G400" s="131"/>
      <c r="H400" s="131"/>
      <c r="I400" s="46"/>
      <c r="J400" s="46"/>
      <c r="K400" s="46"/>
      <c r="L400" s="46"/>
      <c r="M400" s="136"/>
      <c r="N400" s="63"/>
      <c r="O400" s="63"/>
      <c r="P400" s="63"/>
      <c r="Q400" s="214"/>
    </row>
    <row r="401" spans="2:17" ht="14.4" x14ac:dyDescent="0.25">
      <c r="B401" s="15" t="s">
        <v>296</v>
      </c>
      <c r="C401" s="73">
        <v>1.63</v>
      </c>
      <c r="D401" s="131">
        <v>5.41</v>
      </c>
      <c r="E401" s="33">
        <v>1</v>
      </c>
      <c r="F401" s="131"/>
      <c r="G401" s="131"/>
      <c r="H401" s="131"/>
      <c r="I401" s="46"/>
      <c r="J401" s="46"/>
      <c r="K401" s="46"/>
      <c r="L401" s="46"/>
      <c r="M401" s="136"/>
      <c r="N401" s="63"/>
      <c r="O401" s="63">
        <f>C401*E401</f>
        <v>1.63</v>
      </c>
      <c r="P401" s="63"/>
      <c r="Q401" s="214"/>
    </row>
    <row r="402" spans="2:17" ht="14.4" x14ac:dyDescent="0.25">
      <c r="B402" s="15" t="s">
        <v>229</v>
      </c>
      <c r="C402" s="73">
        <v>3.03</v>
      </c>
      <c r="D402" s="131">
        <v>8.51</v>
      </c>
      <c r="E402" s="33">
        <v>1</v>
      </c>
      <c r="F402" s="131"/>
      <c r="G402" s="131"/>
      <c r="H402" s="131"/>
      <c r="I402" s="46"/>
      <c r="J402" s="46"/>
      <c r="K402" s="46"/>
      <c r="L402" s="46"/>
      <c r="M402" s="136"/>
      <c r="N402" s="63"/>
      <c r="O402" s="63"/>
      <c r="P402" s="63"/>
      <c r="Q402" s="214"/>
    </row>
    <row r="403" spans="2:17" ht="14.4" x14ac:dyDescent="0.25">
      <c r="B403" s="220" t="s">
        <v>297</v>
      </c>
      <c r="C403" s="222">
        <v>34.4</v>
      </c>
      <c r="D403" s="131">
        <v>19.840000000000003</v>
      </c>
      <c r="E403" s="33">
        <v>1</v>
      </c>
      <c r="F403" s="131"/>
      <c r="G403" s="131"/>
      <c r="H403" s="131"/>
      <c r="I403" s="46">
        <f t="shared" ref="I403:I449" si="228">C403*E403</f>
        <v>34.4</v>
      </c>
      <c r="J403" s="46"/>
      <c r="K403" s="46"/>
      <c r="L403" s="46"/>
      <c r="M403" s="136"/>
      <c r="N403" s="63"/>
      <c r="O403" s="63"/>
      <c r="P403" s="63">
        <f t="shared" ref="P403:P452" si="229">D403*E403</f>
        <v>19.840000000000003</v>
      </c>
      <c r="Q403" s="214">
        <f t="shared" ref="Q403:Q452" si="230">D403*E403</f>
        <v>19.840000000000003</v>
      </c>
    </row>
    <row r="404" spans="2:17" ht="14.4" x14ac:dyDescent="0.25">
      <c r="B404" s="157" t="s">
        <v>297</v>
      </c>
      <c r="C404" s="73">
        <v>1.36</v>
      </c>
      <c r="D404" s="131">
        <v>4.68</v>
      </c>
      <c r="E404" s="33">
        <v>1</v>
      </c>
      <c r="F404" s="131"/>
      <c r="G404" s="131"/>
      <c r="H404" s="131"/>
      <c r="I404" s="46"/>
      <c r="J404" s="46"/>
      <c r="K404" s="46">
        <f>C404*E404</f>
        <v>1.36</v>
      </c>
      <c r="L404" s="46"/>
      <c r="M404" s="136"/>
      <c r="N404" s="63"/>
      <c r="O404" s="63"/>
      <c r="P404" s="63"/>
      <c r="Q404" s="214"/>
    </row>
    <row r="405" spans="2:17" ht="14.4" x14ac:dyDescent="0.25">
      <c r="B405" s="15" t="s">
        <v>229</v>
      </c>
      <c r="C405" s="73">
        <v>1.1000000000000001</v>
      </c>
      <c r="D405" s="131">
        <v>7.44</v>
      </c>
      <c r="E405" s="33">
        <v>1</v>
      </c>
      <c r="F405" s="131"/>
      <c r="G405" s="131"/>
      <c r="H405" s="131"/>
      <c r="I405" s="46"/>
      <c r="J405" s="46"/>
      <c r="K405" s="46"/>
      <c r="L405" s="46"/>
      <c r="M405" s="136"/>
      <c r="N405" s="63"/>
      <c r="O405" s="63"/>
      <c r="P405" s="63"/>
      <c r="Q405" s="214"/>
    </row>
    <row r="406" spans="2:17" ht="14.4" x14ac:dyDescent="0.25">
      <c r="B406" s="220" t="s">
        <v>168</v>
      </c>
      <c r="C406" s="222">
        <v>28.2</v>
      </c>
      <c r="D406" s="131">
        <v>35.880000000000003</v>
      </c>
      <c r="E406" s="33">
        <v>1</v>
      </c>
      <c r="F406" s="131"/>
      <c r="G406" s="131"/>
      <c r="H406" s="131"/>
      <c r="I406" s="46">
        <f t="shared" si="228"/>
        <v>28.2</v>
      </c>
      <c r="J406" s="46"/>
      <c r="K406" s="46"/>
      <c r="L406" s="46"/>
      <c r="M406" s="136"/>
      <c r="N406" s="63"/>
      <c r="O406" s="63"/>
      <c r="P406" s="63">
        <f t="shared" si="229"/>
        <v>35.880000000000003</v>
      </c>
      <c r="Q406" s="214">
        <f t="shared" si="230"/>
        <v>35.880000000000003</v>
      </c>
    </row>
    <row r="407" spans="2:17" ht="14.4" x14ac:dyDescent="0.25">
      <c r="B407" s="220" t="s">
        <v>168</v>
      </c>
      <c r="C407" s="222">
        <v>34.229999999999997</v>
      </c>
      <c r="D407" s="131">
        <v>27.08</v>
      </c>
      <c r="E407" s="33">
        <v>1</v>
      </c>
      <c r="F407" s="131"/>
      <c r="G407" s="131"/>
      <c r="H407" s="131"/>
      <c r="I407" s="46">
        <f t="shared" si="228"/>
        <v>34.229999999999997</v>
      </c>
      <c r="J407" s="46"/>
      <c r="K407" s="46"/>
      <c r="L407" s="46"/>
      <c r="M407" s="136"/>
      <c r="N407" s="63"/>
      <c r="O407" s="63"/>
      <c r="P407" s="63">
        <f t="shared" si="229"/>
        <v>27.08</v>
      </c>
      <c r="Q407" s="214">
        <f t="shared" si="230"/>
        <v>27.08</v>
      </c>
    </row>
    <row r="408" spans="2:17" ht="14.4" x14ac:dyDescent="0.25">
      <c r="B408" s="157" t="s">
        <v>168</v>
      </c>
      <c r="C408" s="73">
        <v>0.98</v>
      </c>
      <c r="D408" s="131">
        <v>22.64</v>
      </c>
      <c r="E408" s="33">
        <v>1</v>
      </c>
      <c r="F408" s="131"/>
      <c r="G408" s="131"/>
      <c r="H408" s="131"/>
      <c r="I408" s="46"/>
      <c r="J408" s="46"/>
      <c r="K408" s="46">
        <f>C408*E408</f>
        <v>0.98</v>
      </c>
      <c r="L408" s="46"/>
      <c r="M408" s="136"/>
      <c r="N408" s="63"/>
      <c r="O408" s="63"/>
      <c r="P408" s="63"/>
      <c r="Q408" s="214"/>
    </row>
    <row r="409" spans="2:17" ht="14.4" x14ac:dyDescent="0.25">
      <c r="B409" s="15" t="s">
        <v>253</v>
      </c>
      <c r="C409" s="73">
        <v>11.48</v>
      </c>
      <c r="D409" s="131">
        <v>14.78</v>
      </c>
      <c r="E409" s="33">
        <v>1</v>
      </c>
      <c r="F409" s="131"/>
      <c r="G409" s="131"/>
      <c r="H409" s="131"/>
      <c r="I409" s="46">
        <f t="shared" si="228"/>
        <v>11.48</v>
      </c>
      <c r="J409" s="46"/>
      <c r="K409" s="46"/>
      <c r="L409" s="46"/>
      <c r="M409" s="136"/>
      <c r="N409" s="63"/>
      <c r="O409" s="63"/>
      <c r="P409" s="63">
        <f t="shared" si="229"/>
        <v>14.78</v>
      </c>
      <c r="Q409" s="214">
        <f t="shared" si="230"/>
        <v>14.78</v>
      </c>
    </row>
    <row r="410" spans="2:17" ht="14.4" x14ac:dyDescent="0.25">
      <c r="B410" s="15" t="s">
        <v>298</v>
      </c>
      <c r="C410" s="73">
        <v>2.92</v>
      </c>
      <c r="D410" s="131">
        <v>7.09</v>
      </c>
      <c r="E410" s="33">
        <v>1</v>
      </c>
      <c r="F410" s="131"/>
      <c r="G410" s="131"/>
      <c r="H410" s="131"/>
      <c r="I410" s="46"/>
      <c r="J410" s="46">
        <f>C410*E410</f>
        <v>2.92</v>
      </c>
      <c r="K410" s="46"/>
      <c r="L410" s="46"/>
      <c r="M410" s="136"/>
      <c r="N410" s="63"/>
      <c r="O410" s="63"/>
      <c r="P410" s="63">
        <f t="shared" si="229"/>
        <v>7.09</v>
      </c>
      <c r="Q410" s="214">
        <f t="shared" si="230"/>
        <v>7.09</v>
      </c>
    </row>
    <row r="411" spans="2:17" ht="14.4" x14ac:dyDescent="0.25">
      <c r="B411" s="15" t="s">
        <v>254</v>
      </c>
      <c r="C411" s="73">
        <v>11.62</v>
      </c>
      <c r="D411" s="131">
        <v>14.78</v>
      </c>
      <c r="E411" s="33">
        <v>1</v>
      </c>
      <c r="F411" s="131"/>
      <c r="G411" s="131"/>
      <c r="H411" s="131"/>
      <c r="I411" s="46">
        <f t="shared" si="228"/>
        <v>11.62</v>
      </c>
      <c r="J411" s="46"/>
      <c r="K411" s="46"/>
      <c r="L411" s="46"/>
      <c r="M411" s="136"/>
      <c r="N411" s="63"/>
      <c r="O411" s="63"/>
      <c r="P411" s="63">
        <f t="shared" si="229"/>
        <v>14.78</v>
      </c>
      <c r="Q411" s="214">
        <f t="shared" si="230"/>
        <v>14.78</v>
      </c>
    </row>
    <row r="412" spans="2:17" ht="14.4" x14ac:dyDescent="0.25">
      <c r="B412" s="15" t="s">
        <v>299</v>
      </c>
      <c r="C412" s="73">
        <v>4.49</v>
      </c>
      <c r="D412" s="131">
        <v>8.49</v>
      </c>
      <c r="E412" s="33">
        <v>1</v>
      </c>
      <c r="F412" s="131"/>
      <c r="G412" s="131"/>
      <c r="H412" s="131"/>
      <c r="I412" s="46">
        <f t="shared" si="228"/>
        <v>4.49</v>
      </c>
      <c r="J412" s="46"/>
      <c r="K412" s="46"/>
      <c r="L412" s="46"/>
      <c r="M412" s="136"/>
      <c r="N412" s="63"/>
      <c r="O412" s="63"/>
      <c r="P412" s="63">
        <f t="shared" si="229"/>
        <v>8.49</v>
      </c>
      <c r="Q412" s="214">
        <f t="shared" si="230"/>
        <v>8.49</v>
      </c>
    </row>
    <row r="413" spans="2:17" ht="14.4" x14ac:dyDescent="0.25">
      <c r="B413" s="15" t="s">
        <v>300</v>
      </c>
      <c r="C413" s="73">
        <v>8.07</v>
      </c>
      <c r="D413" s="131">
        <v>14.71</v>
      </c>
      <c r="E413" s="33">
        <v>1</v>
      </c>
      <c r="F413" s="131"/>
      <c r="G413" s="131"/>
      <c r="H413" s="131"/>
      <c r="I413" s="46">
        <f t="shared" si="228"/>
        <v>8.07</v>
      </c>
      <c r="J413" s="46"/>
      <c r="K413" s="46"/>
      <c r="L413" s="46"/>
      <c r="M413" s="136"/>
      <c r="N413" s="63"/>
      <c r="O413" s="63"/>
      <c r="P413" s="63">
        <f t="shared" si="229"/>
        <v>14.71</v>
      </c>
      <c r="Q413" s="214">
        <f t="shared" si="230"/>
        <v>14.71</v>
      </c>
    </row>
    <row r="414" spans="2:17" ht="14.4" x14ac:dyDescent="0.25">
      <c r="B414" s="15" t="s">
        <v>301</v>
      </c>
      <c r="C414" s="73">
        <v>14.21</v>
      </c>
      <c r="D414" s="131">
        <v>15.69</v>
      </c>
      <c r="E414" s="33">
        <v>1</v>
      </c>
      <c r="F414" s="131"/>
      <c r="G414" s="131"/>
      <c r="H414" s="131"/>
      <c r="I414" s="46">
        <f t="shared" si="228"/>
        <v>14.21</v>
      </c>
      <c r="J414" s="46"/>
      <c r="K414" s="46"/>
      <c r="L414" s="46"/>
      <c r="M414" s="136"/>
      <c r="N414" s="63"/>
      <c r="O414" s="63"/>
      <c r="P414" s="63">
        <f t="shared" si="229"/>
        <v>15.69</v>
      </c>
      <c r="Q414" s="214">
        <f t="shared" si="230"/>
        <v>15.69</v>
      </c>
    </row>
    <row r="415" spans="2:17" ht="14.4" x14ac:dyDescent="0.25">
      <c r="B415" s="15" t="s">
        <v>302</v>
      </c>
      <c r="C415" s="73">
        <v>16.25</v>
      </c>
      <c r="D415" s="131">
        <v>17.43</v>
      </c>
      <c r="E415" s="33">
        <v>1</v>
      </c>
      <c r="F415" s="131"/>
      <c r="G415" s="131"/>
      <c r="H415" s="131"/>
      <c r="I415" s="46">
        <f t="shared" si="228"/>
        <v>16.25</v>
      </c>
      <c r="J415" s="46"/>
      <c r="K415" s="46"/>
      <c r="L415" s="46"/>
      <c r="M415" s="136"/>
      <c r="N415" s="63"/>
      <c r="O415" s="63"/>
      <c r="P415" s="63">
        <f t="shared" si="229"/>
        <v>17.43</v>
      </c>
      <c r="Q415" s="214">
        <f t="shared" si="230"/>
        <v>17.43</v>
      </c>
    </row>
    <row r="416" spans="2:17" ht="14.4" x14ac:dyDescent="0.25">
      <c r="B416" s="15" t="s">
        <v>303</v>
      </c>
      <c r="C416" s="73">
        <v>2.4</v>
      </c>
      <c r="D416" s="131">
        <v>6.35</v>
      </c>
      <c r="E416" s="33">
        <v>1</v>
      </c>
      <c r="F416" s="131"/>
      <c r="G416" s="131"/>
      <c r="H416" s="131"/>
      <c r="I416" s="46"/>
      <c r="J416" s="46">
        <f>C416*E416</f>
        <v>2.4</v>
      </c>
      <c r="K416" s="46"/>
      <c r="L416" s="46"/>
      <c r="M416" s="136"/>
      <c r="N416" s="63"/>
      <c r="O416" s="63"/>
      <c r="P416" s="63">
        <f t="shared" si="229"/>
        <v>6.35</v>
      </c>
      <c r="Q416" s="214">
        <f t="shared" si="230"/>
        <v>6.35</v>
      </c>
    </row>
    <row r="417" spans="2:17" ht="14.4" x14ac:dyDescent="0.25">
      <c r="B417" s="15" t="s">
        <v>158</v>
      </c>
      <c r="C417" s="73">
        <v>4.91</v>
      </c>
      <c r="D417" s="131">
        <v>9.1999999999999993</v>
      </c>
      <c r="E417" s="33">
        <v>1</v>
      </c>
      <c r="F417" s="131"/>
      <c r="G417" s="131"/>
      <c r="H417" s="131"/>
      <c r="I417" s="46">
        <f t="shared" si="228"/>
        <v>4.91</v>
      </c>
      <c r="J417" s="46"/>
      <c r="K417" s="46"/>
      <c r="L417" s="46"/>
      <c r="M417" s="136"/>
      <c r="N417" s="63"/>
      <c r="O417" s="63"/>
      <c r="P417" s="63">
        <f t="shared" si="229"/>
        <v>9.1999999999999993</v>
      </c>
      <c r="Q417" s="214">
        <f t="shared" si="230"/>
        <v>9.1999999999999993</v>
      </c>
    </row>
    <row r="418" spans="2:17" ht="14.4" x14ac:dyDescent="0.25">
      <c r="B418" s="15" t="s">
        <v>258</v>
      </c>
      <c r="C418" s="73">
        <v>4.6100000000000003</v>
      </c>
      <c r="D418" s="131">
        <v>8.6</v>
      </c>
      <c r="E418" s="33">
        <v>1</v>
      </c>
      <c r="F418" s="131"/>
      <c r="G418" s="131"/>
      <c r="H418" s="131"/>
      <c r="I418" s="46">
        <f t="shared" si="228"/>
        <v>4.6100000000000003</v>
      </c>
      <c r="J418" s="46"/>
      <c r="K418" s="46"/>
      <c r="L418" s="46"/>
      <c r="M418" s="136"/>
      <c r="N418" s="63"/>
      <c r="O418" s="63"/>
      <c r="P418" s="63">
        <f t="shared" si="229"/>
        <v>8.6</v>
      </c>
      <c r="Q418" s="214">
        <f t="shared" si="230"/>
        <v>8.6</v>
      </c>
    </row>
    <row r="419" spans="2:17" ht="14.4" x14ac:dyDescent="0.25">
      <c r="B419" s="15" t="s">
        <v>304</v>
      </c>
      <c r="C419" s="73">
        <v>22.38</v>
      </c>
      <c r="D419" s="131">
        <v>22.47</v>
      </c>
      <c r="E419" s="33">
        <v>1</v>
      </c>
      <c r="F419" s="131"/>
      <c r="G419" s="131"/>
      <c r="H419" s="131"/>
      <c r="I419" s="46">
        <f t="shared" si="228"/>
        <v>22.38</v>
      </c>
      <c r="J419" s="46"/>
      <c r="K419" s="46"/>
      <c r="L419" s="46"/>
      <c r="M419" s="136"/>
      <c r="N419" s="63"/>
      <c r="O419" s="63"/>
      <c r="P419" s="63">
        <f t="shared" si="229"/>
        <v>22.47</v>
      </c>
      <c r="Q419" s="214">
        <f t="shared" si="230"/>
        <v>22.47</v>
      </c>
    </row>
    <row r="420" spans="2:17" ht="14.4" x14ac:dyDescent="0.25">
      <c r="B420" s="15" t="s">
        <v>213</v>
      </c>
      <c r="C420" s="73">
        <v>4.46</v>
      </c>
      <c r="D420" s="131">
        <v>8.85</v>
      </c>
      <c r="E420" s="33">
        <v>1</v>
      </c>
      <c r="F420" s="131"/>
      <c r="G420" s="131"/>
      <c r="H420" s="131"/>
      <c r="I420" s="46"/>
      <c r="J420" s="46">
        <f>C420*E420</f>
        <v>4.46</v>
      </c>
      <c r="K420" s="46"/>
      <c r="L420" s="46"/>
      <c r="M420" s="136"/>
      <c r="N420" s="63"/>
      <c r="O420" s="63"/>
      <c r="P420" s="63">
        <f t="shared" si="229"/>
        <v>8.85</v>
      </c>
      <c r="Q420" s="214">
        <f t="shared" si="230"/>
        <v>8.85</v>
      </c>
    </row>
    <row r="421" spans="2:17" ht="14.4" x14ac:dyDescent="0.25">
      <c r="B421" s="15" t="s">
        <v>213</v>
      </c>
      <c r="C421" s="73">
        <v>4.53</v>
      </c>
      <c r="D421" s="131">
        <v>8.86</v>
      </c>
      <c r="E421" s="33">
        <v>2</v>
      </c>
      <c r="F421" s="131"/>
      <c r="G421" s="131"/>
      <c r="H421" s="131"/>
      <c r="I421" s="46"/>
      <c r="J421" s="46">
        <f>C421*E421</f>
        <v>9.06</v>
      </c>
      <c r="K421" s="46"/>
      <c r="L421" s="46"/>
      <c r="M421" s="136"/>
      <c r="N421" s="63"/>
      <c r="O421" s="63"/>
      <c r="P421" s="63">
        <f t="shared" si="229"/>
        <v>17.72</v>
      </c>
      <c r="Q421" s="214">
        <f t="shared" si="230"/>
        <v>17.72</v>
      </c>
    </row>
    <row r="422" spans="2:17" ht="14.4" x14ac:dyDescent="0.25">
      <c r="B422" s="15" t="s">
        <v>305</v>
      </c>
      <c r="C422" s="73">
        <v>23.52</v>
      </c>
      <c r="D422" s="131">
        <v>22.98</v>
      </c>
      <c r="E422" s="33">
        <v>2</v>
      </c>
      <c r="F422" s="131"/>
      <c r="G422" s="131"/>
      <c r="H422" s="131"/>
      <c r="I422" s="46">
        <f t="shared" si="228"/>
        <v>47.04</v>
      </c>
      <c r="J422" s="46"/>
      <c r="K422" s="46"/>
      <c r="L422" s="46"/>
      <c r="M422" s="136"/>
      <c r="N422" s="63"/>
      <c r="O422" s="63"/>
      <c r="P422" s="63">
        <f t="shared" si="229"/>
        <v>45.96</v>
      </c>
      <c r="Q422" s="214">
        <f t="shared" si="230"/>
        <v>45.96</v>
      </c>
    </row>
    <row r="423" spans="2:17" ht="14.4" x14ac:dyDescent="0.25">
      <c r="B423" s="15" t="s">
        <v>306</v>
      </c>
      <c r="C423" s="73">
        <v>22.51</v>
      </c>
      <c r="D423" s="131">
        <v>22.05</v>
      </c>
      <c r="E423" s="33">
        <v>1</v>
      </c>
      <c r="F423" s="131"/>
      <c r="G423" s="131"/>
      <c r="H423" s="131"/>
      <c r="I423" s="46">
        <f t="shared" si="228"/>
        <v>22.51</v>
      </c>
      <c r="J423" s="46"/>
      <c r="K423" s="46"/>
      <c r="L423" s="46"/>
      <c r="M423" s="136"/>
      <c r="N423" s="63"/>
      <c r="O423" s="63"/>
      <c r="P423" s="63">
        <f t="shared" si="229"/>
        <v>22.05</v>
      </c>
      <c r="Q423" s="214">
        <f t="shared" si="230"/>
        <v>22.05</v>
      </c>
    </row>
    <row r="424" spans="2:17" ht="14.4" x14ac:dyDescent="0.25">
      <c r="B424" s="15" t="s">
        <v>213</v>
      </c>
      <c r="C424" s="73">
        <v>4.4800000000000004</v>
      </c>
      <c r="D424" s="131">
        <v>8.8699999999999992</v>
      </c>
      <c r="E424" s="33">
        <v>1</v>
      </c>
      <c r="F424" s="131"/>
      <c r="G424" s="131"/>
      <c r="H424" s="131"/>
      <c r="I424" s="46"/>
      <c r="J424" s="46">
        <f>C424*E424</f>
        <v>4.4800000000000004</v>
      </c>
      <c r="K424" s="46"/>
      <c r="L424" s="46"/>
      <c r="M424" s="136"/>
      <c r="N424" s="63"/>
      <c r="O424" s="63"/>
      <c r="P424" s="63">
        <f t="shared" si="229"/>
        <v>8.8699999999999992</v>
      </c>
      <c r="Q424" s="214">
        <f t="shared" si="230"/>
        <v>8.8699999999999992</v>
      </c>
    </row>
    <row r="425" spans="2:17" ht="14.4" x14ac:dyDescent="0.25">
      <c r="B425" s="15" t="s">
        <v>177</v>
      </c>
      <c r="C425" s="73">
        <v>10.220000000000001</v>
      </c>
      <c r="D425" s="131">
        <v>13.77</v>
      </c>
      <c r="E425" s="33">
        <v>1</v>
      </c>
      <c r="F425" s="131"/>
      <c r="G425" s="131"/>
      <c r="H425" s="131"/>
      <c r="I425" s="46"/>
      <c r="J425" s="46"/>
      <c r="K425" s="46"/>
      <c r="L425" s="46"/>
      <c r="M425" s="136"/>
      <c r="N425" s="63"/>
      <c r="O425" s="63">
        <f>C425*E425</f>
        <v>10.220000000000001</v>
      </c>
      <c r="P425" s="63"/>
      <c r="Q425" s="214"/>
    </row>
    <row r="426" spans="2:17" ht="14.4" x14ac:dyDescent="0.25">
      <c r="B426" s="15" t="s">
        <v>307</v>
      </c>
      <c r="C426" s="73">
        <v>9.16</v>
      </c>
      <c r="D426" s="131">
        <v>12.98</v>
      </c>
      <c r="E426" s="33">
        <v>1</v>
      </c>
      <c r="F426" s="131"/>
      <c r="G426" s="131"/>
      <c r="H426" s="131"/>
      <c r="I426" s="46">
        <f t="shared" si="228"/>
        <v>9.16</v>
      </c>
      <c r="J426" s="46"/>
      <c r="K426" s="46"/>
      <c r="L426" s="46"/>
      <c r="M426" s="136"/>
      <c r="N426" s="63"/>
      <c r="O426" s="63"/>
      <c r="P426" s="63">
        <f t="shared" si="229"/>
        <v>12.98</v>
      </c>
      <c r="Q426" s="214">
        <f t="shared" si="230"/>
        <v>12.98</v>
      </c>
    </row>
    <row r="427" spans="2:17" ht="14.4" x14ac:dyDescent="0.25">
      <c r="B427" s="15" t="s">
        <v>308</v>
      </c>
      <c r="C427" s="73">
        <v>6.12</v>
      </c>
      <c r="D427" s="131">
        <v>9.9499999999999993</v>
      </c>
      <c r="E427" s="33">
        <v>1</v>
      </c>
      <c r="F427" s="131"/>
      <c r="G427" s="131"/>
      <c r="H427" s="131"/>
      <c r="I427" s="46">
        <f t="shared" si="228"/>
        <v>6.12</v>
      </c>
      <c r="J427" s="46"/>
      <c r="K427" s="46"/>
      <c r="L427" s="46"/>
      <c r="M427" s="136"/>
      <c r="N427" s="63"/>
      <c r="O427" s="63"/>
      <c r="P427" s="63">
        <f t="shared" si="229"/>
        <v>9.9499999999999993</v>
      </c>
      <c r="Q427" s="214">
        <f t="shared" si="230"/>
        <v>9.9499999999999993</v>
      </c>
    </row>
    <row r="428" spans="2:17" ht="14.4" x14ac:dyDescent="0.25">
      <c r="B428" s="15" t="s">
        <v>309</v>
      </c>
      <c r="C428" s="73">
        <v>3.3</v>
      </c>
      <c r="D428" s="131">
        <v>7.4</v>
      </c>
      <c r="E428" s="33">
        <v>2</v>
      </c>
      <c r="F428" s="131"/>
      <c r="G428" s="131"/>
      <c r="H428" s="131"/>
      <c r="I428" s="46"/>
      <c r="J428" s="46">
        <f>C428*E428</f>
        <v>6.6</v>
      </c>
      <c r="K428" s="46"/>
      <c r="L428" s="46"/>
      <c r="M428" s="136"/>
      <c r="N428" s="63"/>
      <c r="O428" s="63"/>
      <c r="P428" s="63">
        <f t="shared" si="229"/>
        <v>14.8</v>
      </c>
      <c r="Q428" s="214">
        <f t="shared" si="230"/>
        <v>14.8</v>
      </c>
    </row>
    <row r="429" spans="2:17" ht="14.4" x14ac:dyDescent="0.25">
      <c r="B429" s="15" t="s">
        <v>269</v>
      </c>
      <c r="C429" s="73">
        <v>4.0199999999999996</v>
      </c>
      <c r="D429" s="131">
        <v>8.52</v>
      </c>
      <c r="E429" s="33">
        <v>1</v>
      </c>
      <c r="F429" s="131"/>
      <c r="G429" s="131"/>
      <c r="H429" s="131"/>
      <c r="I429" s="46">
        <f t="shared" si="228"/>
        <v>4.0199999999999996</v>
      </c>
      <c r="J429" s="46"/>
      <c r="K429" s="46"/>
      <c r="L429" s="46"/>
      <c r="M429" s="136"/>
      <c r="N429" s="63"/>
      <c r="O429" s="63"/>
      <c r="P429" s="63">
        <f t="shared" si="229"/>
        <v>8.52</v>
      </c>
      <c r="Q429" s="214">
        <f t="shared" si="230"/>
        <v>8.52</v>
      </c>
    </row>
    <row r="430" spans="2:17" ht="14.4" x14ac:dyDescent="0.25">
      <c r="B430" s="15" t="s">
        <v>310</v>
      </c>
      <c r="C430" s="73">
        <v>4.6900000000000004</v>
      </c>
      <c r="D430" s="131">
        <v>7.4600000000000009</v>
      </c>
      <c r="E430" s="33">
        <v>1</v>
      </c>
      <c r="F430" s="131"/>
      <c r="G430" s="131"/>
      <c r="H430" s="131"/>
      <c r="I430" s="46">
        <f t="shared" si="228"/>
        <v>4.6900000000000004</v>
      </c>
      <c r="J430" s="46"/>
      <c r="K430" s="46"/>
      <c r="L430" s="46"/>
      <c r="M430" s="136"/>
      <c r="N430" s="63"/>
      <c r="O430" s="63"/>
      <c r="P430" s="63">
        <f t="shared" si="229"/>
        <v>7.4600000000000009</v>
      </c>
      <c r="Q430" s="214">
        <f t="shared" si="230"/>
        <v>7.4600000000000009</v>
      </c>
    </row>
    <row r="431" spans="2:17" ht="14.4" x14ac:dyDescent="0.25">
      <c r="B431" s="15" t="s">
        <v>205</v>
      </c>
      <c r="C431" s="73">
        <v>7.77</v>
      </c>
      <c r="D431" s="131">
        <v>8.36</v>
      </c>
      <c r="E431" s="33">
        <v>1</v>
      </c>
      <c r="F431" s="131"/>
      <c r="G431" s="131"/>
      <c r="H431" s="131"/>
      <c r="I431" s="46">
        <f t="shared" si="228"/>
        <v>7.77</v>
      </c>
      <c r="J431" s="46"/>
      <c r="K431" s="46"/>
      <c r="L431" s="46"/>
      <c r="M431" s="136"/>
      <c r="N431" s="63"/>
      <c r="O431" s="63"/>
      <c r="P431" s="63">
        <f t="shared" si="229"/>
        <v>8.36</v>
      </c>
      <c r="Q431" s="214">
        <f t="shared" si="230"/>
        <v>8.36</v>
      </c>
    </row>
    <row r="432" spans="2:17" ht="14.4" x14ac:dyDescent="0.25">
      <c r="B432" s="15" t="s">
        <v>311</v>
      </c>
      <c r="C432" s="73">
        <v>6.32</v>
      </c>
      <c r="D432" s="131">
        <v>10.050000000000001</v>
      </c>
      <c r="E432" s="33">
        <v>1</v>
      </c>
      <c r="F432" s="131"/>
      <c r="G432" s="131"/>
      <c r="H432" s="131"/>
      <c r="I432" s="46">
        <f t="shared" si="228"/>
        <v>6.32</v>
      </c>
      <c r="J432" s="46"/>
      <c r="K432" s="46"/>
      <c r="L432" s="46"/>
      <c r="M432" s="136"/>
      <c r="N432" s="63"/>
      <c r="O432" s="63"/>
      <c r="P432" s="63">
        <f t="shared" si="229"/>
        <v>10.050000000000001</v>
      </c>
      <c r="Q432" s="214">
        <f t="shared" si="230"/>
        <v>10.050000000000001</v>
      </c>
    </row>
    <row r="433" spans="2:17" ht="14.4" x14ac:dyDescent="0.25">
      <c r="B433" s="15" t="s">
        <v>270</v>
      </c>
      <c r="C433" s="73">
        <v>8.18</v>
      </c>
      <c r="D433" s="131">
        <v>12.13</v>
      </c>
      <c r="E433" s="33">
        <v>1</v>
      </c>
      <c r="F433" s="131"/>
      <c r="G433" s="131"/>
      <c r="H433" s="131"/>
      <c r="I433" s="46">
        <f t="shared" si="228"/>
        <v>8.18</v>
      </c>
      <c r="J433" s="46"/>
      <c r="K433" s="46"/>
      <c r="L433" s="46"/>
      <c r="M433" s="136"/>
      <c r="N433" s="63"/>
      <c r="O433" s="63"/>
      <c r="P433" s="63">
        <f t="shared" si="229"/>
        <v>12.13</v>
      </c>
      <c r="Q433" s="214">
        <f t="shared" si="230"/>
        <v>12.13</v>
      </c>
    </row>
    <row r="434" spans="2:17" ht="14.4" x14ac:dyDescent="0.25">
      <c r="B434" s="15" t="s">
        <v>312</v>
      </c>
      <c r="C434" s="73">
        <v>11.97</v>
      </c>
      <c r="D434" s="131">
        <v>18.649999999999999</v>
      </c>
      <c r="E434" s="33">
        <v>1</v>
      </c>
      <c r="F434" s="131"/>
      <c r="G434" s="131"/>
      <c r="H434" s="131"/>
      <c r="I434" s="46"/>
      <c r="J434" s="46">
        <f>C434*E434</f>
        <v>11.97</v>
      </c>
      <c r="K434" s="46"/>
      <c r="L434" s="46"/>
      <c r="M434" s="136"/>
      <c r="N434" s="63"/>
      <c r="O434" s="63"/>
      <c r="P434" s="63">
        <f t="shared" si="229"/>
        <v>18.649999999999999</v>
      </c>
      <c r="Q434" s="214">
        <f t="shared" si="230"/>
        <v>18.649999999999999</v>
      </c>
    </row>
    <row r="435" spans="2:17" ht="14.4" x14ac:dyDescent="0.25">
      <c r="B435" s="220" t="s">
        <v>277</v>
      </c>
      <c r="C435" s="222">
        <v>12.07</v>
      </c>
      <c r="D435" s="131">
        <v>18.579999999999998</v>
      </c>
      <c r="E435" s="33">
        <v>1</v>
      </c>
      <c r="F435" s="131"/>
      <c r="G435" s="131"/>
      <c r="H435" s="131"/>
      <c r="I435" s="46"/>
      <c r="J435" s="46">
        <f>C435*E435</f>
        <v>12.07</v>
      </c>
      <c r="K435" s="46"/>
      <c r="L435" s="46"/>
      <c r="M435" s="136"/>
      <c r="N435" s="63"/>
      <c r="O435" s="63"/>
      <c r="P435" s="63">
        <f t="shared" si="229"/>
        <v>18.579999999999998</v>
      </c>
      <c r="Q435" s="214">
        <f t="shared" si="230"/>
        <v>18.579999999999998</v>
      </c>
    </row>
    <row r="436" spans="2:17" ht="14.4" x14ac:dyDescent="0.25">
      <c r="B436" s="15" t="s">
        <v>313</v>
      </c>
      <c r="C436" s="73">
        <v>3</v>
      </c>
      <c r="D436" s="131">
        <v>7.4</v>
      </c>
      <c r="E436" s="33">
        <v>2</v>
      </c>
      <c r="F436" s="131"/>
      <c r="G436" s="131"/>
      <c r="H436" s="131"/>
      <c r="I436" s="46"/>
      <c r="J436" s="46">
        <f>C436*E436</f>
        <v>6</v>
      </c>
      <c r="K436" s="46"/>
      <c r="L436" s="46"/>
      <c r="M436" s="136"/>
      <c r="N436" s="63"/>
      <c r="O436" s="63"/>
      <c r="P436" s="63">
        <f t="shared" si="229"/>
        <v>14.8</v>
      </c>
      <c r="Q436" s="214">
        <f t="shared" si="230"/>
        <v>14.8</v>
      </c>
    </row>
    <row r="437" spans="2:17" ht="14.4" x14ac:dyDescent="0.25">
      <c r="B437" s="15" t="s">
        <v>282</v>
      </c>
      <c r="C437" s="73">
        <v>16.18</v>
      </c>
      <c r="D437" s="131">
        <v>18.98</v>
      </c>
      <c r="E437" s="33">
        <v>1</v>
      </c>
      <c r="F437" s="131"/>
      <c r="G437" s="131"/>
      <c r="H437" s="131"/>
      <c r="I437" s="46">
        <f t="shared" si="228"/>
        <v>16.18</v>
      </c>
      <c r="J437" s="46"/>
      <c r="K437" s="46"/>
      <c r="L437" s="46"/>
      <c r="M437" s="136"/>
      <c r="N437" s="63"/>
      <c r="O437" s="63"/>
      <c r="P437" s="63">
        <f t="shared" si="229"/>
        <v>18.98</v>
      </c>
      <c r="Q437" s="214">
        <f t="shared" si="230"/>
        <v>18.98</v>
      </c>
    </row>
    <row r="438" spans="2:17" ht="14.4" x14ac:dyDescent="0.25">
      <c r="B438" s="15" t="s">
        <v>257</v>
      </c>
      <c r="C438" s="73">
        <v>10.94</v>
      </c>
      <c r="D438" s="131">
        <v>12.07</v>
      </c>
      <c r="E438" s="33">
        <v>1</v>
      </c>
      <c r="F438" s="131"/>
      <c r="G438" s="131"/>
      <c r="H438" s="131"/>
      <c r="I438" s="46"/>
      <c r="J438" s="46">
        <f>C438*E438</f>
        <v>10.94</v>
      </c>
      <c r="K438" s="46"/>
      <c r="L438" s="46"/>
      <c r="M438" s="136"/>
      <c r="N438" s="63"/>
      <c r="O438" s="63"/>
      <c r="P438" s="63">
        <f t="shared" si="229"/>
        <v>12.07</v>
      </c>
      <c r="Q438" s="214">
        <f t="shared" si="230"/>
        <v>12.07</v>
      </c>
    </row>
    <row r="439" spans="2:17" ht="14.4" x14ac:dyDescent="0.25">
      <c r="B439" s="15" t="s">
        <v>314</v>
      </c>
      <c r="C439" s="73">
        <v>10.94</v>
      </c>
      <c r="D439" s="131">
        <v>12.07</v>
      </c>
      <c r="E439" s="33">
        <v>1</v>
      </c>
      <c r="F439" s="131"/>
      <c r="G439" s="131"/>
      <c r="H439" s="131"/>
      <c r="I439" s="46">
        <f t="shared" si="228"/>
        <v>10.94</v>
      </c>
      <c r="J439" s="46"/>
      <c r="K439" s="46"/>
      <c r="L439" s="46"/>
      <c r="M439" s="136"/>
      <c r="N439" s="63"/>
      <c r="O439" s="63"/>
      <c r="P439" s="63">
        <f t="shared" si="229"/>
        <v>12.07</v>
      </c>
      <c r="Q439" s="214">
        <f t="shared" si="230"/>
        <v>12.07</v>
      </c>
    </row>
    <row r="440" spans="2:17" ht="14.4" x14ac:dyDescent="0.25">
      <c r="B440" s="15" t="s">
        <v>315</v>
      </c>
      <c r="C440" s="73">
        <v>13.8</v>
      </c>
      <c r="D440" s="131">
        <v>14.290000000000001</v>
      </c>
      <c r="E440" s="33">
        <v>1</v>
      </c>
      <c r="F440" s="131"/>
      <c r="G440" s="131"/>
      <c r="H440" s="131"/>
      <c r="I440" s="46">
        <f t="shared" si="228"/>
        <v>13.8</v>
      </c>
      <c r="J440" s="46"/>
      <c r="K440" s="46"/>
      <c r="L440" s="46"/>
      <c r="M440" s="136"/>
      <c r="N440" s="63"/>
      <c r="O440" s="63"/>
      <c r="P440" s="63">
        <f t="shared" si="229"/>
        <v>14.290000000000001</v>
      </c>
      <c r="Q440" s="214">
        <f t="shared" si="230"/>
        <v>14.290000000000001</v>
      </c>
    </row>
    <row r="441" spans="2:17" ht="14.4" x14ac:dyDescent="0.25">
      <c r="B441" s="220" t="s">
        <v>246</v>
      </c>
      <c r="C441" s="222">
        <v>17.649999999999999</v>
      </c>
      <c r="D441" s="131">
        <f>(20.23-3.31)+7.39</f>
        <v>24.310000000000002</v>
      </c>
      <c r="E441" s="33">
        <v>1</v>
      </c>
      <c r="F441" s="131"/>
      <c r="G441" s="131"/>
      <c r="H441" s="131"/>
      <c r="I441" s="46">
        <f t="shared" si="228"/>
        <v>17.649999999999999</v>
      </c>
      <c r="J441" s="46"/>
      <c r="K441" s="46"/>
      <c r="L441" s="46"/>
      <c r="M441" s="136"/>
      <c r="N441" s="63"/>
      <c r="O441" s="63"/>
      <c r="P441" s="63">
        <f t="shared" si="229"/>
        <v>24.310000000000002</v>
      </c>
      <c r="Q441" s="214">
        <f t="shared" si="230"/>
        <v>24.310000000000002</v>
      </c>
    </row>
    <row r="442" spans="2:17" ht="14.4" x14ac:dyDescent="0.25">
      <c r="B442" s="15" t="s">
        <v>316</v>
      </c>
      <c r="C442" s="73">
        <v>36.85</v>
      </c>
      <c r="D442" s="131">
        <f>(38.25-3.9)+3.38</f>
        <v>37.730000000000004</v>
      </c>
      <c r="E442" s="33">
        <v>1</v>
      </c>
      <c r="F442" s="131"/>
      <c r="G442" s="131"/>
      <c r="H442" s="131"/>
      <c r="I442" s="46">
        <f t="shared" si="228"/>
        <v>36.85</v>
      </c>
      <c r="J442" s="46"/>
      <c r="K442" s="46"/>
      <c r="L442" s="46"/>
      <c r="M442" s="136"/>
      <c r="N442" s="63"/>
      <c r="O442" s="63"/>
      <c r="P442" s="63">
        <f t="shared" si="229"/>
        <v>37.730000000000004</v>
      </c>
      <c r="Q442" s="214">
        <f t="shared" si="230"/>
        <v>37.730000000000004</v>
      </c>
    </row>
    <row r="443" spans="2:17" ht="14.4" x14ac:dyDescent="0.25">
      <c r="B443" s="15" t="s">
        <v>177</v>
      </c>
      <c r="C443" s="73">
        <v>4.95</v>
      </c>
      <c r="D443" s="131">
        <v>8.9</v>
      </c>
      <c r="E443" s="33">
        <v>1</v>
      </c>
      <c r="F443" s="131"/>
      <c r="G443" s="131"/>
      <c r="H443" s="131"/>
      <c r="I443" s="46"/>
      <c r="J443" s="46"/>
      <c r="K443" s="46"/>
      <c r="L443" s="46"/>
      <c r="M443" s="136"/>
      <c r="N443" s="63"/>
      <c r="O443" s="63">
        <f>C443*E443</f>
        <v>4.95</v>
      </c>
      <c r="P443" s="63"/>
      <c r="Q443" s="214"/>
    </row>
    <row r="444" spans="2:17" ht="14.4" x14ac:dyDescent="0.25">
      <c r="B444" s="220" t="s">
        <v>168</v>
      </c>
      <c r="C444" s="222">
        <v>73.86</v>
      </c>
      <c r="D444" s="131">
        <f>(70.15-4.75)+2.7</f>
        <v>68.100000000000009</v>
      </c>
      <c r="E444" s="33">
        <v>1</v>
      </c>
      <c r="F444" s="131"/>
      <c r="G444" s="131"/>
      <c r="H444" s="131"/>
      <c r="I444" s="46">
        <f t="shared" si="228"/>
        <v>73.86</v>
      </c>
      <c r="J444" s="46"/>
      <c r="K444" s="46"/>
      <c r="L444" s="46"/>
      <c r="M444" s="136"/>
      <c r="N444" s="63"/>
      <c r="O444" s="63"/>
      <c r="P444" s="63">
        <f t="shared" si="229"/>
        <v>68.100000000000009</v>
      </c>
      <c r="Q444" s="214">
        <f t="shared" si="230"/>
        <v>68.100000000000009</v>
      </c>
    </row>
    <row r="445" spans="2:17" ht="14.4" x14ac:dyDescent="0.25">
      <c r="B445" s="15" t="s">
        <v>213</v>
      </c>
      <c r="C445" s="73">
        <v>4.29</v>
      </c>
      <c r="D445" s="131">
        <v>8.73</v>
      </c>
      <c r="E445" s="33">
        <v>1</v>
      </c>
      <c r="F445" s="131"/>
      <c r="G445" s="131"/>
      <c r="H445" s="131"/>
      <c r="I445" s="46"/>
      <c r="J445" s="46">
        <f>C445*E445</f>
        <v>4.29</v>
      </c>
      <c r="K445" s="46"/>
      <c r="L445" s="46"/>
      <c r="M445" s="136"/>
      <c r="N445" s="63"/>
      <c r="O445" s="63"/>
      <c r="P445" s="63">
        <f t="shared" si="229"/>
        <v>8.73</v>
      </c>
      <c r="Q445" s="214">
        <f t="shared" si="230"/>
        <v>8.73</v>
      </c>
    </row>
    <row r="446" spans="2:17" ht="14.4" x14ac:dyDescent="0.25">
      <c r="B446" s="15" t="s">
        <v>317</v>
      </c>
      <c r="C446" s="73">
        <v>23.04</v>
      </c>
      <c r="D446" s="131">
        <v>22.46</v>
      </c>
      <c r="E446" s="33">
        <v>1</v>
      </c>
      <c r="F446" s="131"/>
      <c r="G446" s="131"/>
      <c r="H446" s="131"/>
      <c r="I446" s="46">
        <f t="shared" si="228"/>
        <v>23.04</v>
      </c>
      <c r="J446" s="46"/>
      <c r="K446" s="46"/>
      <c r="L446" s="46"/>
      <c r="M446" s="136"/>
      <c r="N446" s="63"/>
      <c r="O446" s="63"/>
      <c r="P446" s="63">
        <f t="shared" si="229"/>
        <v>22.46</v>
      </c>
      <c r="Q446" s="214">
        <f t="shared" si="230"/>
        <v>22.46</v>
      </c>
    </row>
    <row r="447" spans="2:17" ht="14.4" x14ac:dyDescent="0.25">
      <c r="B447" s="15" t="s">
        <v>319</v>
      </c>
      <c r="C447" s="73">
        <v>23.1</v>
      </c>
      <c r="D447" s="131">
        <v>23.46</v>
      </c>
      <c r="E447" s="33">
        <v>3</v>
      </c>
      <c r="F447" s="131"/>
      <c r="G447" s="131"/>
      <c r="H447" s="131"/>
      <c r="I447" s="46">
        <f t="shared" si="228"/>
        <v>69.300000000000011</v>
      </c>
      <c r="J447" s="46"/>
      <c r="K447" s="46"/>
      <c r="L447" s="46"/>
      <c r="M447" s="136"/>
      <c r="N447" s="63"/>
      <c r="O447" s="63"/>
      <c r="P447" s="63">
        <f t="shared" si="229"/>
        <v>70.38</v>
      </c>
      <c r="Q447" s="214">
        <f t="shared" si="230"/>
        <v>70.38</v>
      </c>
    </row>
    <row r="448" spans="2:17" ht="14.4" x14ac:dyDescent="0.25">
      <c r="B448" s="15" t="s">
        <v>318</v>
      </c>
      <c r="C448" s="73">
        <v>23.74</v>
      </c>
      <c r="D448" s="131">
        <v>21.47</v>
      </c>
      <c r="E448" s="33">
        <v>2</v>
      </c>
      <c r="F448" s="131"/>
      <c r="G448" s="131"/>
      <c r="H448" s="131"/>
      <c r="I448" s="46">
        <f t="shared" si="228"/>
        <v>47.48</v>
      </c>
      <c r="J448" s="46"/>
      <c r="K448" s="46"/>
      <c r="L448" s="46"/>
      <c r="M448" s="136"/>
      <c r="N448" s="63"/>
      <c r="O448" s="63"/>
      <c r="P448" s="63">
        <f t="shared" si="229"/>
        <v>42.94</v>
      </c>
      <c r="Q448" s="214">
        <f t="shared" si="230"/>
        <v>42.94</v>
      </c>
    </row>
    <row r="449" spans="1:18" ht="14.4" x14ac:dyDescent="0.25">
      <c r="B449" s="220" t="s">
        <v>258</v>
      </c>
      <c r="C449" s="222">
        <v>3.6</v>
      </c>
      <c r="D449" s="131">
        <v>7.59</v>
      </c>
      <c r="E449" s="33">
        <v>1</v>
      </c>
      <c r="F449" s="131"/>
      <c r="G449" s="131"/>
      <c r="H449" s="131"/>
      <c r="I449" s="46">
        <f t="shared" si="228"/>
        <v>3.6</v>
      </c>
      <c r="J449" s="46"/>
      <c r="K449" s="46"/>
      <c r="L449" s="46"/>
      <c r="M449" s="136"/>
      <c r="N449" s="63"/>
      <c r="O449" s="63"/>
      <c r="P449" s="63">
        <f t="shared" si="229"/>
        <v>7.59</v>
      </c>
      <c r="Q449" s="214">
        <f t="shared" si="230"/>
        <v>7.59</v>
      </c>
    </row>
    <row r="450" spans="1:18" ht="14.4" x14ac:dyDescent="0.25">
      <c r="B450" s="15" t="s">
        <v>213</v>
      </c>
      <c r="C450" s="73">
        <v>4.4000000000000004</v>
      </c>
      <c r="D450" s="131">
        <v>8.73</v>
      </c>
      <c r="E450" s="33">
        <v>1</v>
      </c>
      <c r="F450" s="131"/>
      <c r="G450" s="131"/>
      <c r="H450" s="131"/>
      <c r="I450" s="46"/>
      <c r="J450" s="46">
        <f>C450*E450</f>
        <v>4.4000000000000004</v>
      </c>
      <c r="K450" s="46"/>
      <c r="L450" s="46"/>
      <c r="M450" s="136"/>
      <c r="N450" s="63"/>
      <c r="O450" s="63"/>
      <c r="P450" s="63">
        <f t="shared" si="229"/>
        <v>8.73</v>
      </c>
      <c r="Q450" s="214">
        <f t="shared" si="230"/>
        <v>8.73</v>
      </c>
    </row>
    <row r="451" spans="1:18" ht="14.4" x14ac:dyDescent="0.25">
      <c r="B451" s="15" t="s">
        <v>213</v>
      </c>
      <c r="C451" s="73">
        <v>4.42</v>
      </c>
      <c r="D451" s="131">
        <v>8.75</v>
      </c>
      <c r="E451" s="33">
        <v>2</v>
      </c>
      <c r="F451" s="131"/>
      <c r="G451" s="131"/>
      <c r="H451" s="131"/>
      <c r="I451" s="46"/>
      <c r="J451" s="46">
        <f>C451*E451</f>
        <v>8.84</v>
      </c>
      <c r="K451" s="46"/>
      <c r="L451" s="46"/>
      <c r="M451" s="136"/>
      <c r="N451" s="63"/>
      <c r="O451" s="63"/>
      <c r="P451" s="63">
        <f t="shared" si="229"/>
        <v>17.5</v>
      </c>
      <c r="Q451" s="214">
        <f t="shared" si="230"/>
        <v>17.5</v>
      </c>
    </row>
    <row r="452" spans="1:18" ht="14.4" x14ac:dyDescent="0.25">
      <c r="B452" s="15" t="s">
        <v>213</v>
      </c>
      <c r="C452" s="73">
        <v>4.41</v>
      </c>
      <c r="D452" s="131">
        <v>8.73</v>
      </c>
      <c r="E452" s="33">
        <v>2</v>
      </c>
      <c r="F452" s="131"/>
      <c r="G452" s="131"/>
      <c r="H452" s="131"/>
      <c r="I452" s="46"/>
      <c r="J452" s="46">
        <f>C452*E452</f>
        <v>8.82</v>
      </c>
      <c r="K452" s="46"/>
      <c r="L452" s="46"/>
      <c r="M452" s="136"/>
      <c r="N452" s="63"/>
      <c r="O452" s="63"/>
      <c r="P452" s="63">
        <f t="shared" si="229"/>
        <v>17.46</v>
      </c>
      <c r="Q452" s="214">
        <f t="shared" si="230"/>
        <v>17.46</v>
      </c>
    </row>
    <row r="453" spans="1:18" ht="14.4" x14ac:dyDescent="0.25">
      <c r="B453" s="260" t="s">
        <v>229</v>
      </c>
      <c r="C453" s="73">
        <v>1.65</v>
      </c>
      <c r="D453" s="131">
        <v>7.45</v>
      </c>
      <c r="E453" s="33">
        <v>1</v>
      </c>
      <c r="F453" s="131"/>
      <c r="G453" s="131"/>
      <c r="H453" s="131"/>
      <c r="I453" s="46"/>
      <c r="J453" s="46"/>
      <c r="K453" s="46"/>
      <c r="L453" s="46"/>
      <c r="M453" s="136"/>
      <c r="N453" s="63"/>
      <c r="O453" s="63"/>
      <c r="P453" s="63"/>
      <c r="Q453" s="214"/>
    </row>
    <row r="454" spans="1:18" ht="19.95" customHeight="1" x14ac:dyDescent="0.25">
      <c r="B454" s="134" t="s">
        <v>22</v>
      </c>
      <c r="C454" s="127">
        <f>SUM(C392:C453)</f>
        <v>778</v>
      </c>
      <c r="D454" s="127"/>
      <c r="E454" s="127"/>
      <c r="F454" s="127"/>
      <c r="G454" s="127">
        <f t="shared" ref="G454:Q454" si="231">SUM(G392:G453)</f>
        <v>0</v>
      </c>
      <c r="H454" s="127">
        <f t="shared" si="231"/>
        <v>0</v>
      </c>
      <c r="I454" s="127">
        <f t="shared" si="231"/>
        <v>649.56000000000006</v>
      </c>
      <c r="J454" s="127">
        <f t="shared" si="231"/>
        <v>97.250000000000028</v>
      </c>
      <c r="K454" s="127">
        <f t="shared" si="231"/>
        <v>47.64</v>
      </c>
      <c r="L454" s="127">
        <f t="shared" si="231"/>
        <v>10.58</v>
      </c>
      <c r="M454" s="127">
        <f t="shared" si="231"/>
        <v>0</v>
      </c>
      <c r="N454" s="127">
        <f t="shared" si="231"/>
        <v>0</v>
      </c>
      <c r="O454" s="127">
        <f t="shared" si="231"/>
        <v>60.28</v>
      </c>
      <c r="P454" s="127">
        <f t="shared" si="231"/>
        <v>869.42000000000019</v>
      </c>
      <c r="Q454" s="127">
        <f t="shared" si="231"/>
        <v>869.42000000000019</v>
      </c>
      <c r="R454" s="1"/>
    </row>
    <row r="455" spans="1:18" ht="19.95" customHeight="1" x14ac:dyDescent="0.25">
      <c r="B455" s="271"/>
      <c r="C455" s="272"/>
      <c r="D455" s="272"/>
      <c r="E455" s="127"/>
      <c r="F455" s="127"/>
      <c r="G455" s="127"/>
      <c r="H455" s="127"/>
      <c r="I455" s="258">
        <v>1</v>
      </c>
      <c r="J455" s="258">
        <v>2</v>
      </c>
      <c r="K455" s="258">
        <v>3</v>
      </c>
      <c r="L455" s="224">
        <v>4</v>
      </c>
      <c r="M455" s="224">
        <v>6</v>
      </c>
      <c r="N455" s="224">
        <v>7</v>
      </c>
      <c r="O455" s="224">
        <v>5</v>
      </c>
      <c r="P455" s="218" t="s">
        <v>194</v>
      </c>
      <c r="Q455" s="255"/>
      <c r="R455" s="1"/>
    </row>
    <row r="456" spans="1:18" ht="40.049999999999997" customHeight="1" x14ac:dyDescent="0.25">
      <c r="B456" s="843" t="s">
        <v>16</v>
      </c>
      <c r="C456" s="839" t="s">
        <v>17</v>
      </c>
      <c r="D456" s="839" t="s">
        <v>18</v>
      </c>
      <c r="E456" s="842" t="s">
        <v>19</v>
      </c>
      <c r="F456" s="842" t="s">
        <v>13</v>
      </c>
      <c r="G456" s="842" t="s">
        <v>24</v>
      </c>
      <c r="H456" s="842" t="s">
        <v>25</v>
      </c>
      <c r="I456" s="842" t="s">
        <v>82</v>
      </c>
      <c r="J456" s="842" t="s">
        <v>83</v>
      </c>
      <c r="K456" s="838" t="s">
        <v>84</v>
      </c>
      <c r="L456" s="838" t="s">
        <v>85</v>
      </c>
      <c r="M456" s="838" t="s">
        <v>86</v>
      </c>
      <c r="N456" s="848" t="s">
        <v>87</v>
      </c>
      <c r="O456" s="848" t="s">
        <v>88</v>
      </c>
      <c r="P456" s="848" t="s">
        <v>193</v>
      </c>
      <c r="Q456" s="848" t="s">
        <v>192</v>
      </c>
    </row>
    <row r="457" spans="1:18" ht="40.049999999999997" customHeight="1" x14ac:dyDescent="0.25">
      <c r="B457" s="852"/>
      <c r="C457" s="838"/>
      <c r="D457" s="838"/>
      <c r="E457" s="842"/>
      <c r="F457" s="842"/>
      <c r="G457" s="839"/>
      <c r="H457" s="839"/>
      <c r="I457" s="839"/>
      <c r="J457" s="839"/>
      <c r="K457" s="839"/>
      <c r="L457" s="839"/>
      <c r="M457" s="839"/>
      <c r="N457" s="849"/>
      <c r="O457" s="849"/>
      <c r="P457" s="849"/>
      <c r="Q457" s="849"/>
    </row>
    <row r="458" spans="1:18" ht="15.6" x14ac:dyDescent="0.25">
      <c r="A458" s="141" t="s">
        <v>89</v>
      </c>
      <c r="B458" s="59" t="s">
        <v>63</v>
      </c>
      <c r="C458" s="60"/>
      <c r="D458" s="60"/>
      <c r="E458" s="60"/>
      <c r="F458" s="60"/>
      <c r="G458" s="60"/>
      <c r="H458" s="60"/>
      <c r="I458" s="58"/>
      <c r="J458" s="58"/>
      <c r="K458" s="58"/>
      <c r="L458" s="58"/>
      <c r="M458" s="57"/>
      <c r="N458" s="61"/>
      <c r="O458" s="61"/>
      <c r="P458" s="61"/>
      <c r="Q458" s="61"/>
      <c r="R458" s="1"/>
    </row>
    <row r="459" spans="1:18" ht="14.4" x14ac:dyDescent="0.25">
      <c r="A459" s="141"/>
      <c r="B459" s="220" t="s">
        <v>168</v>
      </c>
      <c r="C459" s="603">
        <v>11.67</v>
      </c>
      <c r="D459" s="576">
        <v>14.83</v>
      </c>
      <c r="E459" s="33">
        <v>1</v>
      </c>
      <c r="F459" s="574"/>
      <c r="G459" s="574"/>
      <c r="H459" s="574"/>
      <c r="I459" s="580"/>
      <c r="J459" s="580"/>
      <c r="K459" s="528">
        <f>C459*E459</f>
        <v>11.67</v>
      </c>
      <c r="L459" s="580"/>
      <c r="M459" s="581"/>
      <c r="N459" s="582"/>
      <c r="O459" s="582"/>
      <c r="P459" s="582"/>
      <c r="Q459" s="582"/>
    </row>
    <row r="460" spans="1:18" ht="14.4" x14ac:dyDescent="0.25">
      <c r="A460" s="141"/>
      <c r="B460" s="220" t="s">
        <v>258</v>
      </c>
      <c r="C460" s="603">
        <v>29.81</v>
      </c>
      <c r="D460" s="576">
        <v>27.77</v>
      </c>
      <c r="E460" s="33">
        <v>1</v>
      </c>
      <c r="F460" s="574"/>
      <c r="G460" s="574"/>
      <c r="H460" s="574"/>
      <c r="I460" s="580"/>
      <c r="J460" s="580"/>
      <c r="K460" s="528">
        <f>C460*E460</f>
        <v>29.81</v>
      </c>
      <c r="L460" s="580"/>
      <c r="M460" s="581"/>
      <c r="N460" s="582"/>
      <c r="O460" s="582"/>
      <c r="P460" s="582"/>
      <c r="Q460" s="582"/>
    </row>
    <row r="461" spans="1:18" ht="14.4" x14ac:dyDescent="0.25">
      <c r="A461" s="141"/>
      <c r="B461" s="157" t="s">
        <v>346</v>
      </c>
      <c r="C461" s="566">
        <v>43.75</v>
      </c>
      <c r="D461" s="578">
        <v>28.1</v>
      </c>
      <c r="E461" s="33">
        <v>1</v>
      </c>
      <c r="F461" s="574"/>
      <c r="G461" s="574"/>
      <c r="H461" s="574"/>
      <c r="I461" s="580"/>
      <c r="J461" s="580"/>
      <c r="K461" s="580"/>
      <c r="L461" s="580"/>
      <c r="M461" s="581"/>
      <c r="N461" s="582"/>
      <c r="O461" s="528">
        <f>C461*E461</f>
        <v>43.75</v>
      </c>
      <c r="P461" s="582"/>
      <c r="Q461" s="582"/>
    </row>
    <row r="462" spans="1:18" ht="14.4" x14ac:dyDescent="0.25">
      <c r="A462" s="141"/>
      <c r="B462" s="157" t="s">
        <v>724</v>
      </c>
      <c r="C462" s="566">
        <v>7.45</v>
      </c>
      <c r="D462" s="576">
        <v>10.93</v>
      </c>
      <c r="E462" s="33">
        <v>1</v>
      </c>
      <c r="F462" s="574"/>
      <c r="G462" s="574"/>
      <c r="H462" s="574"/>
      <c r="I462" s="580"/>
      <c r="J462" s="580"/>
      <c r="K462" s="580"/>
      <c r="L462" s="580"/>
      <c r="M462" s="581"/>
      <c r="N462" s="582"/>
      <c r="O462" s="582"/>
      <c r="P462" s="582"/>
      <c r="Q462" s="582"/>
    </row>
    <row r="463" spans="1:18" ht="14.4" x14ac:dyDescent="0.25">
      <c r="A463" s="141"/>
      <c r="B463" s="157" t="s">
        <v>725</v>
      </c>
      <c r="C463" s="566">
        <v>8.23</v>
      </c>
      <c r="D463" s="576">
        <v>11.56</v>
      </c>
      <c r="E463" s="33">
        <v>1</v>
      </c>
      <c r="F463" s="574"/>
      <c r="G463" s="574"/>
      <c r="H463" s="574"/>
      <c r="I463" s="580"/>
      <c r="J463" s="580"/>
      <c r="K463" s="580"/>
      <c r="L463" s="580"/>
      <c r="M463" s="581"/>
      <c r="N463" s="582"/>
      <c r="O463" s="582"/>
      <c r="P463" s="582"/>
      <c r="Q463" s="582"/>
    </row>
    <row r="464" spans="1:18" ht="14.4" x14ac:dyDescent="0.25">
      <c r="A464" s="141"/>
      <c r="B464" s="157" t="s">
        <v>726</v>
      </c>
      <c r="C464" s="186">
        <v>3.9</v>
      </c>
      <c r="D464" s="576">
        <v>8.33</v>
      </c>
      <c r="E464" s="33">
        <v>1</v>
      </c>
      <c r="F464" s="574"/>
      <c r="G464" s="574"/>
      <c r="H464" s="574"/>
      <c r="I464" s="580"/>
      <c r="J464" s="580"/>
      <c r="K464" s="580"/>
      <c r="L464" s="580"/>
      <c r="M464" s="581"/>
      <c r="N464" s="582"/>
      <c r="O464" s="582"/>
      <c r="P464" s="582"/>
      <c r="Q464" s="582"/>
    </row>
    <row r="465" spans="2:17" ht="14.4" x14ac:dyDescent="0.25">
      <c r="B465" s="220" t="s">
        <v>205</v>
      </c>
      <c r="C465" s="222">
        <v>18.98</v>
      </c>
      <c r="D465" s="131">
        <v>17.93</v>
      </c>
      <c r="E465" s="33">
        <v>1</v>
      </c>
      <c r="F465" s="131"/>
      <c r="G465" s="131"/>
      <c r="H465" s="131"/>
      <c r="I465" s="46">
        <f>C465*E465</f>
        <v>18.98</v>
      </c>
      <c r="J465" s="46"/>
      <c r="K465" s="46"/>
      <c r="L465" s="46"/>
      <c r="M465" s="136"/>
      <c r="N465" s="63"/>
      <c r="O465" s="63"/>
      <c r="P465" s="63">
        <f t="shared" ref="P465" si="232">D465*E465</f>
        <v>17.93</v>
      </c>
      <c r="Q465" s="214">
        <f t="shared" ref="Q465" si="233">D465*E465</f>
        <v>17.93</v>
      </c>
    </row>
    <row r="466" spans="2:17" ht="14.4" x14ac:dyDescent="0.25">
      <c r="B466" s="157" t="s">
        <v>205</v>
      </c>
      <c r="C466" s="73">
        <v>11.74</v>
      </c>
      <c r="D466" s="131">
        <v>13.76</v>
      </c>
      <c r="E466" s="33">
        <v>1</v>
      </c>
      <c r="F466" s="131"/>
      <c r="G466" s="131"/>
      <c r="H466" s="131"/>
      <c r="I466" s="46"/>
      <c r="J466" s="46"/>
      <c r="K466" s="46"/>
      <c r="L466" s="46">
        <f>C466*E466</f>
        <v>11.74</v>
      </c>
      <c r="M466" s="136"/>
      <c r="N466" s="63"/>
      <c r="O466" s="63"/>
      <c r="P466" s="63"/>
      <c r="Q466" s="214"/>
    </row>
    <row r="467" spans="2:17" ht="14.4" x14ac:dyDescent="0.25">
      <c r="B467" s="15" t="s">
        <v>229</v>
      </c>
      <c r="C467" s="73">
        <v>0.45</v>
      </c>
      <c r="D467" s="131">
        <v>3.86</v>
      </c>
      <c r="E467" s="33">
        <v>1</v>
      </c>
      <c r="F467" s="131"/>
      <c r="G467" s="131"/>
      <c r="H467" s="131"/>
      <c r="I467" s="46"/>
      <c r="J467" s="46"/>
      <c r="K467" s="46"/>
      <c r="L467" s="46"/>
      <c r="M467" s="136"/>
      <c r="N467" s="63"/>
      <c r="O467" s="63"/>
      <c r="P467" s="63"/>
      <c r="Q467" s="214"/>
    </row>
    <row r="468" spans="2:17" ht="14.4" x14ac:dyDescent="0.25">
      <c r="B468" s="15" t="s">
        <v>168</v>
      </c>
      <c r="C468" s="73">
        <v>8.68</v>
      </c>
      <c r="D468" s="131">
        <v>14.53</v>
      </c>
      <c r="E468" s="33">
        <v>1</v>
      </c>
      <c r="F468" s="131"/>
      <c r="G468" s="131"/>
      <c r="H468" s="131"/>
      <c r="I468" s="46">
        <f t="shared" ref="I468:I513" si="234">C468*E468</f>
        <v>8.68</v>
      </c>
      <c r="J468" s="46"/>
      <c r="K468" s="46"/>
      <c r="L468" s="46"/>
      <c r="M468" s="136"/>
      <c r="N468" s="63"/>
      <c r="O468" s="63"/>
      <c r="P468" s="63">
        <f t="shared" ref="P468:P513" si="235">D468*E468</f>
        <v>14.53</v>
      </c>
      <c r="Q468" s="214">
        <f t="shared" ref="Q468:Q513" si="236">D468*E468</f>
        <v>14.53</v>
      </c>
    </row>
    <row r="469" spans="2:17" ht="14.4" x14ac:dyDescent="0.25">
      <c r="B469" s="15" t="s">
        <v>168</v>
      </c>
      <c r="C469" s="73">
        <v>3.53</v>
      </c>
      <c r="D469" s="131">
        <v>7.52</v>
      </c>
      <c r="E469" s="33">
        <v>1</v>
      </c>
      <c r="F469" s="131"/>
      <c r="G469" s="131"/>
      <c r="H469" s="131"/>
      <c r="I469" s="46"/>
      <c r="J469" s="46"/>
      <c r="K469" s="46"/>
      <c r="L469" s="46">
        <f>C469*E469</f>
        <v>3.53</v>
      </c>
      <c r="M469" s="136"/>
      <c r="N469" s="63"/>
      <c r="O469" s="63"/>
      <c r="P469" s="63"/>
      <c r="Q469" s="214"/>
    </row>
    <row r="470" spans="2:17" ht="14.4" x14ac:dyDescent="0.25">
      <c r="B470" s="15" t="s">
        <v>229</v>
      </c>
      <c r="C470" s="73">
        <v>3.03</v>
      </c>
      <c r="D470" s="131">
        <v>8.51</v>
      </c>
      <c r="E470" s="33">
        <v>1</v>
      </c>
      <c r="F470" s="131"/>
      <c r="G470" s="131"/>
      <c r="H470" s="131"/>
      <c r="I470" s="46"/>
      <c r="J470" s="46"/>
      <c r="K470" s="46"/>
      <c r="L470" s="46"/>
      <c r="M470" s="136"/>
      <c r="N470" s="63"/>
      <c r="O470" s="63"/>
      <c r="P470" s="63"/>
      <c r="Q470" s="214"/>
    </row>
    <row r="471" spans="2:17" ht="14.4" x14ac:dyDescent="0.25">
      <c r="B471" s="220" t="s">
        <v>244</v>
      </c>
      <c r="C471" s="222">
        <v>16.86</v>
      </c>
      <c r="D471" s="131">
        <f>(17.23-5.83)+2.42</f>
        <v>13.82</v>
      </c>
      <c r="E471" s="33">
        <v>1</v>
      </c>
      <c r="F471" s="131"/>
      <c r="G471" s="131"/>
      <c r="H471" s="131"/>
      <c r="I471" s="46">
        <f t="shared" si="234"/>
        <v>16.86</v>
      </c>
      <c r="J471" s="46"/>
      <c r="K471" s="46"/>
      <c r="L471" s="46"/>
      <c r="M471" s="136"/>
      <c r="N471" s="63"/>
      <c r="O471" s="63"/>
      <c r="P471" s="63">
        <f t="shared" si="235"/>
        <v>13.82</v>
      </c>
      <c r="Q471" s="214">
        <f t="shared" si="236"/>
        <v>13.82</v>
      </c>
    </row>
    <row r="472" spans="2:17" ht="14.4" x14ac:dyDescent="0.25">
      <c r="B472" s="220" t="s">
        <v>168</v>
      </c>
      <c r="C472" s="222">
        <v>10.63</v>
      </c>
      <c r="D472" s="131">
        <f>(13.09-6)+3.6</f>
        <v>10.69</v>
      </c>
      <c r="E472" s="33">
        <v>1</v>
      </c>
      <c r="F472" s="131"/>
      <c r="G472" s="131"/>
      <c r="H472" s="131"/>
      <c r="I472" s="46">
        <f t="shared" si="234"/>
        <v>10.63</v>
      </c>
      <c r="J472" s="46"/>
      <c r="K472" s="46"/>
      <c r="L472" s="46"/>
      <c r="M472" s="136"/>
      <c r="N472" s="63"/>
      <c r="O472" s="63"/>
      <c r="P472" s="63">
        <f t="shared" si="235"/>
        <v>10.69</v>
      </c>
      <c r="Q472" s="214">
        <f t="shared" si="236"/>
        <v>10.69</v>
      </c>
    </row>
    <row r="473" spans="2:17" ht="14.4" x14ac:dyDescent="0.25">
      <c r="B473" s="157" t="s">
        <v>168</v>
      </c>
      <c r="C473" s="73">
        <v>2.35</v>
      </c>
      <c r="D473" s="131">
        <v>6.26</v>
      </c>
      <c r="E473" s="33">
        <v>1</v>
      </c>
      <c r="F473" s="131"/>
      <c r="G473" s="131"/>
      <c r="H473" s="131"/>
      <c r="I473" s="46"/>
      <c r="J473" s="46"/>
      <c r="K473" s="46">
        <f>C473*E473</f>
        <v>2.35</v>
      </c>
      <c r="L473" s="46"/>
      <c r="M473" s="136"/>
      <c r="N473" s="63"/>
      <c r="O473" s="63"/>
      <c r="P473" s="63"/>
      <c r="Q473" s="214"/>
    </row>
    <row r="474" spans="2:17" ht="14.4" x14ac:dyDescent="0.25">
      <c r="B474" s="15" t="s">
        <v>229</v>
      </c>
      <c r="C474" s="73">
        <v>1.1000000000000001</v>
      </c>
      <c r="D474" s="131">
        <v>7.44</v>
      </c>
      <c r="E474" s="33">
        <v>1</v>
      </c>
      <c r="F474" s="131"/>
      <c r="G474" s="131"/>
      <c r="H474" s="131"/>
      <c r="I474" s="46"/>
      <c r="J474" s="46"/>
      <c r="K474" s="46"/>
      <c r="L474" s="46"/>
      <c r="M474" s="136"/>
      <c r="N474" s="63"/>
      <c r="O474" s="63"/>
      <c r="P474" s="63"/>
      <c r="Q474" s="214"/>
    </row>
    <row r="475" spans="2:17" ht="14.4" x14ac:dyDescent="0.25">
      <c r="B475" s="15" t="s">
        <v>245</v>
      </c>
      <c r="C475" s="73">
        <v>12.11</v>
      </c>
      <c r="D475" s="131">
        <v>14.39</v>
      </c>
      <c r="E475" s="33">
        <v>1</v>
      </c>
      <c r="F475" s="131"/>
      <c r="G475" s="131"/>
      <c r="H475" s="131"/>
      <c r="I475" s="46">
        <f t="shared" si="234"/>
        <v>12.11</v>
      </c>
      <c r="J475" s="46"/>
      <c r="K475" s="46"/>
      <c r="L475" s="46"/>
      <c r="M475" s="136"/>
      <c r="N475" s="63"/>
      <c r="O475" s="63"/>
      <c r="P475" s="63">
        <f t="shared" si="235"/>
        <v>14.39</v>
      </c>
      <c r="Q475" s="214">
        <f t="shared" si="236"/>
        <v>14.39</v>
      </c>
    </row>
    <row r="476" spans="2:17" ht="14.4" x14ac:dyDescent="0.25">
      <c r="B476" s="15" t="s">
        <v>246</v>
      </c>
      <c r="C476" s="73">
        <v>10.18</v>
      </c>
      <c r="D476" s="131">
        <f>(13.45-2.34)+11.06</f>
        <v>22.17</v>
      </c>
      <c r="E476" s="33">
        <v>1</v>
      </c>
      <c r="F476" s="131"/>
      <c r="G476" s="131"/>
      <c r="H476" s="131"/>
      <c r="I476" s="46">
        <f t="shared" si="234"/>
        <v>10.18</v>
      </c>
      <c r="J476" s="46"/>
      <c r="K476" s="46"/>
      <c r="L476" s="46"/>
      <c r="M476" s="136"/>
      <c r="N476" s="63"/>
      <c r="O476" s="63"/>
      <c r="P476" s="63">
        <f t="shared" si="235"/>
        <v>22.17</v>
      </c>
      <c r="Q476" s="214">
        <f t="shared" si="236"/>
        <v>22.17</v>
      </c>
    </row>
    <row r="477" spans="2:17" ht="14.4" x14ac:dyDescent="0.25">
      <c r="B477" s="15" t="s">
        <v>168</v>
      </c>
      <c r="C477" s="73">
        <v>7.72</v>
      </c>
      <c r="D477" s="131">
        <v>12.87</v>
      </c>
      <c r="E477" s="33">
        <v>1</v>
      </c>
      <c r="F477" s="131"/>
      <c r="G477" s="131"/>
      <c r="H477" s="131"/>
      <c r="I477" s="46">
        <f t="shared" si="234"/>
        <v>7.72</v>
      </c>
      <c r="J477" s="46"/>
      <c r="K477" s="46"/>
      <c r="L477" s="46"/>
      <c r="M477" s="136"/>
      <c r="N477" s="63"/>
      <c r="O477" s="63"/>
      <c r="P477" s="63">
        <f t="shared" si="235"/>
        <v>12.87</v>
      </c>
      <c r="Q477" s="214">
        <f t="shared" si="236"/>
        <v>12.87</v>
      </c>
    </row>
    <row r="478" spans="2:17" ht="14.4" x14ac:dyDescent="0.25">
      <c r="B478" s="15" t="s">
        <v>168</v>
      </c>
      <c r="C478" s="73">
        <v>3.94</v>
      </c>
      <c r="D478" s="131">
        <v>15.04</v>
      </c>
      <c r="E478" s="33">
        <v>1</v>
      </c>
      <c r="F478" s="131"/>
      <c r="G478" s="131"/>
      <c r="H478" s="131"/>
      <c r="I478" s="46"/>
      <c r="J478" s="46"/>
      <c r="K478" s="46"/>
      <c r="L478" s="46">
        <f>C478*E478</f>
        <v>3.94</v>
      </c>
      <c r="M478" s="136"/>
      <c r="N478" s="63"/>
      <c r="O478" s="63"/>
      <c r="P478" s="63"/>
      <c r="Q478" s="214"/>
    </row>
    <row r="479" spans="2:17" ht="14.4" x14ac:dyDescent="0.25">
      <c r="B479" s="15" t="s">
        <v>247</v>
      </c>
      <c r="C479" s="73">
        <v>5.0999999999999996</v>
      </c>
      <c r="D479" s="131">
        <v>9.27</v>
      </c>
      <c r="E479" s="33">
        <v>1</v>
      </c>
      <c r="F479" s="131"/>
      <c r="G479" s="131"/>
      <c r="H479" s="131"/>
      <c r="I479" s="46">
        <f t="shared" si="234"/>
        <v>5.0999999999999996</v>
      </c>
      <c r="J479" s="46"/>
      <c r="K479" s="46"/>
      <c r="L479" s="46"/>
      <c r="M479" s="136"/>
      <c r="N479" s="63"/>
      <c r="O479" s="63"/>
      <c r="P479" s="63">
        <f t="shared" si="235"/>
        <v>9.27</v>
      </c>
      <c r="Q479" s="214">
        <f t="shared" si="236"/>
        <v>9.27</v>
      </c>
    </row>
    <row r="480" spans="2:17" ht="14.4" x14ac:dyDescent="0.25">
      <c r="B480" s="220" t="s">
        <v>248</v>
      </c>
      <c r="C480" s="222">
        <v>18.18</v>
      </c>
      <c r="D480" s="131">
        <v>17.88</v>
      </c>
      <c r="E480" s="33">
        <v>1</v>
      </c>
      <c r="F480" s="131"/>
      <c r="G480" s="131"/>
      <c r="H480" s="131"/>
      <c r="I480" s="46">
        <f t="shared" si="234"/>
        <v>18.18</v>
      </c>
      <c r="J480" s="46"/>
      <c r="K480" s="46"/>
      <c r="L480" s="46"/>
      <c r="M480" s="136"/>
      <c r="N480" s="63"/>
      <c r="O480" s="63"/>
      <c r="P480" s="63">
        <f t="shared" si="235"/>
        <v>17.88</v>
      </c>
      <c r="Q480" s="214">
        <f t="shared" si="236"/>
        <v>17.88</v>
      </c>
    </row>
    <row r="481" spans="2:17" ht="14.4" x14ac:dyDescent="0.25">
      <c r="B481" s="15" t="s">
        <v>249</v>
      </c>
      <c r="C481" s="73">
        <v>9.64</v>
      </c>
      <c r="D481" s="131">
        <v>12.71</v>
      </c>
      <c r="E481" s="33">
        <v>1</v>
      </c>
      <c r="F481" s="131"/>
      <c r="G481" s="131"/>
      <c r="H481" s="131"/>
      <c r="I481" s="46">
        <f t="shared" si="234"/>
        <v>9.64</v>
      </c>
      <c r="J481" s="46"/>
      <c r="K481" s="46"/>
      <c r="L481" s="46"/>
      <c r="M481" s="136"/>
      <c r="N481" s="63"/>
      <c r="O481" s="63"/>
      <c r="P481" s="63">
        <f t="shared" si="235"/>
        <v>12.71</v>
      </c>
      <c r="Q481" s="214">
        <f t="shared" si="236"/>
        <v>12.71</v>
      </c>
    </row>
    <row r="482" spans="2:17" ht="14.4" x14ac:dyDescent="0.25">
      <c r="B482" s="15" t="s">
        <v>320</v>
      </c>
      <c r="C482" s="73">
        <v>17.41</v>
      </c>
      <c r="D482" s="131">
        <v>17.48</v>
      </c>
      <c r="E482" s="33">
        <v>1</v>
      </c>
      <c r="F482" s="131"/>
      <c r="G482" s="131"/>
      <c r="H482" s="131"/>
      <c r="I482" s="46">
        <f t="shared" si="234"/>
        <v>17.41</v>
      </c>
      <c r="J482" s="46"/>
      <c r="K482" s="46"/>
      <c r="L482" s="46"/>
      <c r="M482" s="136"/>
      <c r="N482" s="63"/>
      <c r="O482" s="63"/>
      <c r="P482" s="63">
        <f t="shared" si="235"/>
        <v>17.48</v>
      </c>
      <c r="Q482" s="214">
        <f t="shared" si="236"/>
        <v>17.48</v>
      </c>
    </row>
    <row r="483" spans="2:17" ht="14.4" x14ac:dyDescent="0.25">
      <c r="B483" s="15" t="s">
        <v>258</v>
      </c>
      <c r="C483" s="73">
        <v>5.4</v>
      </c>
      <c r="D483" s="131">
        <v>9.4</v>
      </c>
      <c r="E483" s="33">
        <v>1</v>
      </c>
      <c r="F483" s="131"/>
      <c r="G483" s="131"/>
      <c r="H483" s="131"/>
      <c r="I483" s="46">
        <f t="shared" si="234"/>
        <v>5.4</v>
      </c>
      <c r="J483" s="46"/>
      <c r="K483" s="46"/>
      <c r="L483" s="46"/>
      <c r="M483" s="136"/>
      <c r="N483" s="63"/>
      <c r="O483" s="63"/>
      <c r="P483" s="63">
        <f t="shared" si="235"/>
        <v>9.4</v>
      </c>
      <c r="Q483" s="214">
        <f t="shared" si="236"/>
        <v>9.4</v>
      </c>
    </row>
    <row r="484" spans="2:17" ht="14.4" x14ac:dyDescent="0.25">
      <c r="B484" s="15" t="s">
        <v>260</v>
      </c>
      <c r="C484" s="73">
        <v>4.59</v>
      </c>
      <c r="D484" s="131">
        <v>8.8000000000000007</v>
      </c>
      <c r="E484" s="33">
        <v>1</v>
      </c>
      <c r="F484" s="131"/>
      <c r="G484" s="131"/>
      <c r="H484" s="131"/>
      <c r="I484" s="46"/>
      <c r="J484" s="46">
        <f>C484*E484</f>
        <v>4.59</v>
      </c>
      <c r="K484" s="46"/>
      <c r="L484" s="46"/>
      <c r="M484" s="136"/>
      <c r="N484" s="63"/>
      <c r="O484" s="63"/>
      <c r="P484" s="63">
        <f t="shared" si="235"/>
        <v>8.8000000000000007</v>
      </c>
      <c r="Q484" s="214">
        <f t="shared" si="236"/>
        <v>8.8000000000000007</v>
      </c>
    </row>
    <row r="485" spans="2:17" ht="14.4" x14ac:dyDescent="0.25">
      <c r="B485" s="15" t="s">
        <v>321</v>
      </c>
      <c r="C485" s="73">
        <v>8.4700000000000006</v>
      </c>
      <c r="D485" s="131">
        <v>12.06</v>
      </c>
      <c r="E485" s="33">
        <v>1</v>
      </c>
      <c r="F485" s="131"/>
      <c r="G485" s="131"/>
      <c r="H485" s="131"/>
      <c r="I485" s="46">
        <f t="shared" si="234"/>
        <v>8.4700000000000006</v>
      </c>
      <c r="J485" s="46"/>
      <c r="K485" s="46"/>
      <c r="L485" s="46"/>
      <c r="M485" s="136"/>
      <c r="N485" s="63"/>
      <c r="O485" s="63"/>
      <c r="P485" s="63">
        <f t="shared" si="235"/>
        <v>12.06</v>
      </c>
      <c r="Q485" s="214">
        <f t="shared" si="236"/>
        <v>12.06</v>
      </c>
    </row>
    <row r="486" spans="2:17" ht="14.4" x14ac:dyDescent="0.25">
      <c r="B486" s="15" t="s">
        <v>168</v>
      </c>
      <c r="C486" s="73">
        <v>6.18</v>
      </c>
      <c r="D486" s="131">
        <v>11.5</v>
      </c>
      <c r="E486" s="33">
        <v>1</v>
      </c>
      <c r="F486" s="131"/>
      <c r="G486" s="131"/>
      <c r="H486" s="131"/>
      <c r="I486" s="46">
        <f t="shared" si="234"/>
        <v>6.18</v>
      </c>
      <c r="J486" s="46"/>
      <c r="K486" s="46"/>
      <c r="L486" s="46"/>
      <c r="M486" s="136"/>
      <c r="N486" s="63"/>
      <c r="O486" s="63"/>
      <c r="P486" s="63">
        <f t="shared" si="235"/>
        <v>11.5</v>
      </c>
      <c r="Q486" s="214">
        <f t="shared" si="236"/>
        <v>11.5</v>
      </c>
    </row>
    <row r="487" spans="2:17" ht="14.4" x14ac:dyDescent="0.25">
      <c r="B487" s="15" t="s">
        <v>168</v>
      </c>
      <c r="C487" s="73">
        <v>2.76</v>
      </c>
      <c r="D487" s="131">
        <v>10.02</v>
      </c>
      <c r="E487" s="33">
        <v>1</v>
      </c>
      <c r="F487" s="131"/>
      <c r="G487" s="131"/>
      <c r="H487" s="131"/>
      <c r="I487" s="46"/>
      <c r="J487" s="46"/>
      <c r="K487" s="46"/>
      <c r="L487" s="46">
        <f>C487*E487</f>
        <v>2.76</v>
      </c>
      <c r="M487" s="136"/>
      <c r="N487" s="63"/>
      <c r="O487" s="63"/>
      <c r="P487" s="63"/>
      <c r="Q487" s="214"/>
    </row>
    <row r="488" spans="2:17" ht="14.4" x14ac:dyDescent="0.25">
      <c r="B488" s="220" t="s">
        <v>263</v>
      </c>
      <c r="C488" s="222">
        <v>4.24</v>
      </c>
      <c r="D488" s="131">
        <v>8.19</v>
      </c>
      <c r="E488" s="33">
        <v>1</v>
      </c>
      <c r="F488" s="131"/>
      <c r="G488" s="131"/>
      <c r="H488" s="131"/>
      <c r="I488" s="46">
        <f t="shared" si="234"/>
        <v>4.24</v>
      </c>
      <c r="J488" s="46"/>
      <c r="K488" s="46"/>
      <c r="L488" s="46"/>
      <c r="M488" s="136"/>
      <c r="N488" s="63"/>
      <c r="O488" s="63"/>
      <c r="P488" s="63">
        <f t="shared" si="235"/>
        <v>8.19</v>
      </c>
      <c r="Q488" s="214">
        <f t="shared" si="236"/>
        <v>8.19</v>
      </c>
    </row>
    <row r="489" spans="2:17" ht="14.4" x14ac:dyDescent="0.25">
      <c r="B489" s="220" t="s">
        <v>322</v>
      </c>
      <c r="C489" s="222">
        <v>7.05</v>
      </c>
      <c r="D489" s="131">
        <v>10.7</v>
      </c>
      <c r="E489" s="33">
        <v>1</v>
      </c>
      <c r="F489" s="131"/>
      <c r="G489" s="131"/>
      <c r="H489" s="131"/>
      <c r="I489" s="46">
        <f t="shared" si="234"/>
        <v>7.05</v>
      </c>
      <c r="J489" s="46"/>
      <c r="K489" s="46"/>
      <c r="L489" s="46"/>
      <c r="M489" s="136"/>
      <c r="N489" s="63"/>
      <c r="O489" s="63"/>
      <c r="P489" s="63">
        <f t="shared" si="235"/>
        <v>10.7</v>
      </c>
      <c r="Q489" s="214">
        <f t="shared" si="236"/>
        <v>10.7</v>
      </c>
    </row>
    <row r="490" spans="2:17" ht="14.4" x14ac:dyDescent="0.25">
      <c r="B490" s="15" t="s">
        <v>331</v>
      </c>
      <c r="C490" s="73">
        <v>5.07</v>
      </c>
      <c r="D490" s="131">
        <v>9.4</v>
      </c>
      <c r="E490" s="33">
        <v>1</v>
      </c>
      <c r="F490" s="131"/>
      <c r="G490" s="131"/>
      <c r="H490" s="131"/>
      <c r="I490" s="46">
        <f t="shared" si="234"/>
        <v>5.07</v>
      </c>
      <c r="J490" s="46"/>
      <c r="K490" s="46"/>
      <c r="L490" s="46"/>
      <c r="M490" s="136"/>
      <c r="N490" s="63"/>
      <c r="O490" s="63"/>
      <c r="P490" s="63">
        <f t="shared" si="235"/>
        <v>9.4</v>
      </c>
      <c r="Q490" s="214">
        <f t="shared" si="236"/>
        <v>9.4</v>
      </c>
    </row>
    <row r="491" spans="2:17" ht="14.4" x14ac:dyDescent="0.25">
      <c r="B491" s="15" t="s">
        <v>323</v>
      </c>
      <c r="C491" s="73">
        <v>4.1500000000000004</v>
      </c>
      <c r="D491" s="131">
        <v>8.15</v>
      </c>
      <c r="E491" s="33">
        <v>1</v>
      </c>
      <c r="F491" s="131"/>
      <c r="G491" s="131"/>
      <c r="H491" s="131"/>
      <c r="I491" s="46"/>
      <c r="J491" s="46">
        <f>C491*E491</f>
        <v>4.1500000000000004</v>
      </c>
      <c r="K491" s="46"/>
      <c r="L491" s="46"/>
      <c r="M491" s="136"/>
      <c r="N491" s="63"/>
      <c r="O491" s="63"/>
      <c r="P491" s="63">
        <f t="shared" si="235"/>
        <v>8.15</v>
      </c>
      <c r="Q491" s="214">
        <f t="shared" si="236"/>
        <v>8.15</v>
      </c>
    </row>
    <row r="492" spans="2:17" ht="14.4" x14ac:dyDescent="0.25">
      <c r="B492" s="15" t="s">
        <v>324</v>
      </c>
      <c r="C492" s="73">
        <v>4.32</v>
      </c>
      <c r="D492" s="131">
        <v>8.32</v>
      </c>
      <c r="E492" s="33">
        <v>1</v>
      </c>
      <c r="F492" s="131"/>
      <c r="G492" s="131"/>
      <c r="H492" s="131"/>
      <c r="I492" s="46"/>
      <c r="J492" s="46">
        <f>C492*E492</f>
        <v>4.32</v>
      </c>
      <c r="K492" s="46"/>
      <c r="L492" s="46"/>
      <c r="M492" s="136"/>
      <c r="N492" s="63"/>
      <c r="O492" s="63"/>
      <c r="P492" s="63">
        <f t="shared" si="235"/>
        <v>8.32</v>
      </c>
      <c r="Q492" s="214">
        <f t="shared" si="236"/>
        <v>8.32</v>
      </c>
    </row>
    <row r="493" spans="2:17" ht="14.4" x14ac:dyDescent="0.25">
      <c r="B493" s="15" t="s">
        <v>168</v>
      </c>
      <c r="C493" s="73">
        <v>9.16</v>
      </c>
      <c r="D493" s="131">
        <v>16.470000000000002</v>
      </c>
      <c r="E493" s="33">
        <v>1</v>
      </c>
      <c r="F493" s="131"/>
      <c r="G493" s="131"/>
      <c r="H493" s="131"/>
      <c r="I493" s="46">
        <f t="shared" si="234"/>
        <v>9.16</v>
      </c>
      <c r="J493" s="46"/>
      <c r="K493" s="46"/>
      <c r="L493" s="46"/>
      <c r="M493" s="136"/>
      <c r="N493" s="63"/>
      <c r="O493" s="63"/>
      <c r="P493" s="63">
        <f t="shared" si="235"/>
        <v>16.470000000000002</v>
      </c>
      <c r="Q493" s="214">
        <f t="shared" si="236"/>
        <v>16.470000000000002</v>
      </c>
    </row>
    <row r="494" spans="2:17" ht="14.4" x14ac:dyDescent="0.25">
      <c r="B494" s="15" t="s">
        <v>168</v>
      </c>
      <c r="C494" s="73">
        <v>4.33</v>
      </c>
      <c r="D494" s="131">
        <v>15</v>
      </c>
      <c r="E494" s="33">
        <v>1</v>
      </c>
      <c r="F494" s="131"/>
      <c r="G494" s="131"/>
      <c r="H494" s="131"/>
      <c r="I494" s="46"/>
      <c r="J494" s="46"/>
      <c r="K494" s="46"/>
      <c r="L494" s="46">
        <f>C494*E494</f>
        <v>4.33</v>
      </c>
      <c r="M494" s="136"/>
      <c r="N494" s="63"/>
      <c r="O494" s="63"/>
      <c r="P494" s="63"/>
      <c r="Q494" s="214"/>
    </row>
    <row r="495" spans="2:17" ht="14.4" x14ac:dyDescent="0.25">
      <c r="B495" s="15" t="s">
        <v>325</v>
      </c>
      <c r="C495" s="73">
        <v>9.98</v>
      </c>
      <c r="D495" s="131">
        <v>13.21</v>
      </c>
      <c r="E495" s="33">
        <v>1</v>
      </c>
      <c r="F495" s="131"/>
      <c r="G495" s="131"/>
      <c r="H495" s="131"/>
      <c r="I495" s="46">
        <f t="shared" si="234"/>
        <v>9.98</v>
      </c>
      <c r="J495" s="46"/>
      <c r="K495" s="46"/>
      <c r="L495" s="46"/>
      <c r="M495" s="136"/>
      <c r="N495" s="63"/>
      <c r="O495" s="63"/>
      <c r="P495" s="63">
        <f t="shared" si="235"/>
        <v>13.21</v>
      </c>
      <c r="Q495" s="214">
        <f t="shared" si="236"/>
        <v>13.21</v>
      </c>
    </row>
    <row r="496" spans="2:17" ht="14.4" x14ac:dyDescent="0.25">
      <c r="B496" s="15" t="s">
        <v>326</v>
      </c>
      <c r="C496" s="73">
        <v>10.24</v>
      </c>
      <c r="D496" s="131">
        <v>13.34</v>
      </c>
      <c r="E496" s="33">
        <v>1</v>
      </c>
      <c r="F496" s="131"/>
      <c r="G496" s="131"/>
      <c r="H496" s="131"/>
      <c r="I496" s="46">
        <f t="shared" si="234"/>
        <v>10.24</v>
      </c>
      <c r="J496" s="46"/>
      <c r="K496" s="46"/>
      <c r="L496" s="46"/>
      <c r="M496" s="136"/>
      <c r="N496" s="63"/>
      <c r="O496" s="63"/>
      <c r="P496" s="63">
        <f t="shared" si="235"/>
        <v>13.34</v>
      </c>
      <c r="Q496" s="214">
        <f t="shared" si="236"/>
        <v>13.34</v>
      </c>
    </row>
    <row r="497" spans="2:17" ht="14.4" x14ac:dyDescent="0.25">
      <c r="B497" s="15" t="s">
        <v>327</v>
      </c>
      <c r="C497" s="73">
        <v>4.0599999999999996</v>
      </c>
      <c r="D497" s="131">
        <v>8.3000000000000007</v>
      </c>
      <c r="E497" s="33">
        <v>1</v>
      </c>
      <c r="F497" s="131"/>
      <c r="G497" s="131"/>
      <c r="H497" s="131"/>
      <c r="I497" s="46"/>
      <c r="J497" s="46">
        <f t="shared" ref="J497:J502" si="237">C497*E497</f>
        <v>4.0599999999999996</v>
      </c>
      <c r="K497" s="46"/>
      <c r="L497" s="46"/>
      <c r="M497" s="136"/>
      <c r="N497" s="63"/>
      <c r="O497" s="63"/>
      <c r="P497" s="63">
        <f t="shared" si="235"/>
        <v>8.3000000000000007</v>
      </c>
      <c r="Q497" s="214">
        <f t="shared" si="236"/>
        <v>8.3000000000000007</v>
      </c>
    </row>
    <row r="498" spans="2:17" ht="14.4" x14ac:dyDescent="0.25">
      <c r="B498" s="15" t="s">
        <v>327</v>
      </c>
      <c r="C498" s="73">
        <v>4.18</v>
      </c>
      <c r="D498" s="131">
        <v>8.49</v>
      </c>
      <c r="E498" s="33">
        <v>1</v>
      </c>
      <c r="F498" s="131"/>
      <c r="G498" s="131"/>
      <c r="H498" s="131"/>
      <c r="I498" s="46"/>
      <c r="J498" s="46">
        <f t="shared" si="237"/>
        <v>4.18</v>
      </c>
      <c r="K498" s="46"/>
      <c r="L498" s="46"/>
      <c r="M498" s="136"/>
      <c r="N498" s="63"/>
      <c r="O498" s="63"/>
      <c r="P498" s="63">
        <f t="shared" si="235"/>
        <v>8.49</v>
      </c>
      <c r="Q498" s="214">
        <f t="shared" si="236"/>
        <v>8.49</v>
      </c>
    </row>
    <row r="499" spans="2:17" ht="14.4" x14ac:dyDescent="0.25">
      <c r="B499" s="15" t="s">
        <v>328</v>
      </c>
      <c r="C499" s="73">
        <v>1.92</v>
      </c>
      <c r="D499" s="131">
        <v>5.66</v>
      </c>
      <c r="E499" s="33">
        <v>1</v>
      </c>
      <c r="F499" s="131"/>
      <c r="G499" s="131"/>
      <c r="H499" s="131"/>
      <c r="I499" s="46"/>
      <c r="J499" s="46">
        <f t="shared" si="237"/>
        <v>1.92</v>
      </c>
      <c r="K499" s="46"/>
      <c r="L499" s="46"/>
      <c r="M499" s="136"/>
      <c r="N499" s="63"/>
      <c r="O499" s="63"/>
      <c r="P499" s="63">
        <f t="shared" si="235"/>
        <v>5.66</v>
      </c>
      <c r="Q499" s="214">
        <f t="shared" si="236"/>
        <v>5.66</v>
      </c>
    </row>
    <row r="500" spans="2:17" ht="14.4" x14ac:dyDescent="0.25">
      <c r="B500" s="15" t="s">
        <v>329</v>
      </c>
      <c r="C500" s="73">
        <v>1.99</v>
      </c>
      <c r="D500" s="131">
        <v>5.74</v>
      </c>
      <c r="E500" s="33">
        <v>1</v>
      </c>
      <c r="F500" s="131"/>
      <c r="G500" s="131"/>
      <c r="H500" s="131"/>
      <c r="I500" s="46"/>
      <c r="J500" s="46">
        <f t="shared" si="237"/>
        <v>1.99</v>
      </c>
      <c r="K500" s="46"/>
      <c r="L500" s="46"/>
      <c r="M500" s="136"/>
      <c r="N500" s="63"/>
      <c r="O500" s="63"/>
      <c r="P500" s="63">
        <f t="shared" si="235"/>
        <v>5.74</v>
      </c>
      <c r="Q500" s="214">
        <f t="shared" si="236"/>
        <v>5.74</v>
      </c>
    </row>
    <row r="501" spans="2:17" ht="14.4" x14ac:dyDescent="0.25">
      <c r="B501" s="15" t="s">
        <v>257</v>
      </c>
      <c r="C501" s="73">
        <v>7.02</v>
      </c>
      <c r="D501" s="131">
        <v>10.63</v>
      </c>
      <c r="E501" s="33">
        <v>1</v>
      </c>
      <c r="F501" s="131"/>
      <c r="G501" s="131"/>
      <c r="H501" s="131"/>
      <c r="I501" s="46"/>
      <c r="J501" s="46">
        <f t="shared" si="237"/>
        <v>7.02</v>
      </c>
      <c r="K501" s="46"/>
      <c r="L501" s="46"/>
      <c r="M501" s="136"/>
      <c r="N501" s="63"/>
      <c r="O501" s="63"/>
      <c r="P501" s="63">
        <f t="shared" si="235"/>
        <v>10.63</v>
      </c>
      <c r="Q501" s="214">
        <f t="shared" si="236"/>
        <v>10.63</v>
      </c>
    </row>
    <row r="502" spans="2:17" ht="14.4" x14ac:dyDescent="0.25">
      <c r="B502" s="15" t="s">
        <v>158</v>
      </c>
      <c r="C502" s="73">
        <v>3.43</v>
      </c>
      <c r="D502" s="131">
        <v>7.7</v>
      </c>
      <c r="E502" s="33">
        <v>1</v>
      </c>
      <c r="F502" s="131"/>
      <c r="G502" s="131"/>
      <c r="H502" s="131"/>
      <c r="I502" s="46"/>
      <c r="J502" s="46">
        <f t="shared" si="237"/>
        <v>3.43</v>
      </c>
      <c r="K502" s="46"/>
      <c r="L502" s="46"/>
      <c r="M502" s="136"/>
      <c r="N502" s="63"/>
      <c r="O502" s="63"/>
      <c r="P502" s="63">
        <f t="shared" si="235"/>
        <v>7.7</v>
      </c>
      <c r="Q502" s="214">
        <f t="shared" si="236"/>
        <v>7.7</v>
      </c>
    </row>
    <row r="503" spans="2:17" ht="14.4" x14ac:dyDescent="0.25">
      <c r="B503" s="220" t="s">
        <v>177</v>
      </c>
      <c r="C503" s="222">
        <v>5.62</v>
      </c>
      <c r="D503" s="131">
        <v>10.130000000000001</v>
      </c>
      <c r="E503" s="33">
        <v>1</v>
      </c>
      <c r="F503" s="131"/>
      <c r="G503" s="131"/>
      <c r="H503" s="131"/>
      <c r="I503" s="46"/>
      <c r="J503" s="46"/>
      <c r="K503" s="46"/>
      <c r="L503" s="46"/>
      <c r="M503" s="136"/>
      <c r="N503" s="63"/>
      <c r="O503" s="63">
        <f>C503*E503</f>
        <v>5.62</v>
      </c>
      <c r="P503" s="63"/>
      <c r="Q503" s="214"/>
    </row>
    <row r="504" spans="2:17" ht="14.4" x14ac:dyDescent="0.25">
      <c r="B504" s="220" t="s">
        <v>168</v>
      </c>
      <c r="C504" s="222">
        <v>97.21</v>
      </c>
      <c r="D504" s="131">
        <v>85.89</v>
      </c>
      <c r="E504" s="33">
        <v>1</v>
      </c>
      <c r="F504" s="131"/>
      <c r="G504" s="131"/>
      <c r="H504" s="131"/>
      <c r="I504" s="46">
        <f t="shared" si="234"/>
        <v>97.21</v>
      </c>
      <c r="J504" s="46"/>
      <c r="K504" s="46"/>
      <c r="L504" s="46"/>
      <c r="M504" s="136"/>
      <c r="N504" s="63"/>
      <c r="O504" s="63"/>
      <c r="P504" s="63">
        <f t="shared" si="235"/>
        <v>85.89</v>
      </c>
      <c r="Q504" s="214">
        <f t="shared" si="236"/>
        <v>85.89</v>
      </c>
    </row>
    <row r="505" spans="2:17" ht="14.4" x14ac:dyDescent="0.25">
      <c r="B505" s="157" t="s">
        <v>168</v>
      </c>
      <c r="C505" s="73">
        <v>35.18</v>
      </c>
      <c r="D505" s="131">
        <v>71.28</v>
      </c>
      <c r="E505" s="33">
        <v>1</v>
      </c>
      <c r="F505" s="131"/>
      <c r="G505" s="131"/>
      <c r="H505" s="131"/>
      <c r="I505" s="46"/>
      <c r="J505" s="46"/>
      <c r="K505" s="46">
        <f>C505*E505</f>
        <v>35.18</v>
      </c>
      <c r="L505" s="46"/>
      <c r="M505" s="136"/>
      <c r="N505" s="63"/>
      <c r="O505" s="63"/>
      <c r="P505" s="63"/>
      <c r="Q505" s="214"/>
    </row>
    <row r="506" spans="2:17" ht="14.4" x14ac:dyDescent="0.25">
      <c r="B506" s="15" t="s">
        <v>260</v>
      </c>
      <c r="C506" s="73">
        <v>4.46</v>
      </c>
      <c r="D506" s="131">
        <v>8.6999999999999993</v>
      </c>
      <c r="E506" s="33">
        <v>6</v>
      </c>
      <c r="F506" s="131"/>
      <c r="G506" s="131"/>
      <c r="H506" s="131"/>
      <c r="I506" s="46"/>
      <c r="J506" s="46">
        <f>C506*E506</f>
        <v>26.759999999999998</v>
      </c>
      <c r="K506" s="46"/>
      <c r="L506" s="46"/>
      <c r="M506" s="136"/>
      <c r="N506" s="63"/>
      <c r="O506" s="63"/>
      <c r="P506" s="63">
        <f t="shared" si="235"/>
        <v>52.199999999999996</v>
      </c>
      <c r="Q506" s="214">
        <f t="shared" si="236"/>
        <v>52.199999999999996</v>
      </c>
    </row>
    <row r="507" spans="2:17" ht="14.4" x14ac:dyDescent="0.25">
      <c r="B507" s="220" t="s">
        <v>260</v>
      </c>
      <c r="C507" s="222">
        <v>4.45</v>
      </c>
      <c r="D507" s="131">
        <v>8.6999999999999993</v>
      </c>
      <c r="E507" s="33">
        <v>2</v>
      </c>
      <c r="F507" s="131"/>
      <c r="G507" s="131"/>
      <c r="H507" s="131"/>
      <c r="I507" s="46"/>
      <c r="J507" s="46">
        <f>C507*E507</f>
        <v>8.9</v>
      </c>
      <c r="K507" s="46"/>
      <c r="L507" s="46"/>
      <c r="M507" s="136"/>
      <c r="N507" s="63"/>
      <c r="O507" s="63"/>
      <c r="P507" s="63">
        <f t="shared" si="235"/>
        <v>17.399999999999999</v>
      </c>
      <c r="Q507" s="214">
        <f t="shared" si="236"/>
        <v>17.399999999999999</v>
      </c>
    </row>
    <row r="508" spans="2:17" ht="14.4" x14ac:dyDescent="0.25">
      <c r="B508" s="15" t="s">
        <v>260</v>
      </c>
      <c r="C508" s="73">
        <v>4.59</v>
      </c>
      <c r="D508" s="131">
        <v>8.8000000000000007</v>
      </c>
      <c r="E508" s="33">
        <v>2</v>
      </c>
      <c r="F508" s="131"/>
      <c r="G508" s="131"/>
      <c r="H508" s="131"/>
      <c r="I508" s="46"/>
      <c r="J508" s="46">
        <f>C508*E508</f>
        <v>9.18</v>
      </c>
      <c r="K508" s="46"/>
      <c r="L508" s="46"/>
      <c r="M508" s="136"/>
      <c r="N508" s="63"/>
      <c r="O508" s="63"/>
      <c r="P508" s="63">
        <f t="shared" si="235"/>
        <v>17.600000000000001</v>
      </c>
      <c r="Q508" s="214">
        <f t="shared" si="236"/>
        <v>17.600000000000001</v>
      </c>
    </row>
    <row r="509" spans="2:17" ht="14.4" x14ac:dyDescent="0.25">
      <c r="B509" s="15" t="s">
        <v>269</v>
      </c>
      <c r="C509" s="73">
        <v>2.13</v>
      </c>
      <c r="D509" s="131">
        <v>5.9</v>
      </c>
      <c r="E509" s="33">
        <v>1</v>
      </c>
      <c r="F509" s="131"/>
      <c r="G509" s="131"/>
      <c r="H509" s="131"/>
      <c r="I509" s="46">
        <f t="shared" si="234"/>
        <v>2.13</v>
      </c>
      <c r="J509" s="46"/>
      <c r="K509" s="46"/>
      <c r="L509" s="46"/>
      <c r="M509" s="136"/>
      <c r="N509" s="63"/>
      <c r="O509" s="63"/>
      <c r="P509" s="63">
        <f t="shared" si="235"/>
        <v>5.9</v>
      </c>
      <c r="Q509" s="214">
        <f t="shared" si="236"/>
        <v>5.9</v>
      </c>
    </row>
    <row r="510" spans="2:17" ht="14.4" x14ac:dyDescent="0.25">
      <c r="B510" s="220" t="s">
        <v>265</v>
      </c>
      <c r="C510" s="222">
        <v>51.55</v>
      </c>
      <c r="D510" s="131">
        <v>35.24</v>
      </c>
      <c r="E510" s="33">
        <v>1</v>
      </c>
      <c r="F510" s="131"/>
      <c r="G510" s="131"/>
      <c r="H510" s="131"/>
      <c r="I510" s="46">
        <f t="shared" si="234"/>
        <v>51.55</v>
      </c>
      <c r="J510" s="46"/>
      <c r="K510" s="46"/>
      <c r="L510" s="46"/>
      <c r="M510" s="136"/>
      <c r="N510" s="63"/>
      <c r="O510" s="63"/>
      <c r="P510" s="63">
        <f t="shared" si="235"/>
        <v>35.24</v>
      </c>
      <c r="Q510" s="214">
        <f t="shared" si="236"/>
        <v>35.24</v>
      </c>
    </row>
    <row r="511" spans="2:17" ht="14.4" x14ac:dyDescent="0.25">
      <c r="B511" s="220" t="s">
        <v>266</v>
      </c>
      <c r="C511" s="222">
        <v>28.38</v>
      </c>
      <c r="D511" s="131">
        <v>21.18</v>
      </c>
      <c r="E511" s="33">
        <v>3</v>
      </c>
      <c r="F511" s="131"/>
      <c r="G511" s="131"/>
      <c r="H511" s="131"/>
      <c r="I511" s="46">
        <f t="shared" si="234"/>
        <v>85.14</v>
      </c>
      <c r="J511" s="46"/>
      <c r="K511" s="46"/>
      <c r="L511" s="46"/>
      <c r="M511" s="136"/>
      <c r="N511" s="63"/>
      <c r="O511" s="63"/>
      <c r="P511" s="63">
        <f t="shared" si="235"/>
        <v>63.54</v>
      </c>
      <c r="Q511" s="214">
        <f t="shared" si="236"/>
        <v>63.54</v>
      </c>
    </row>
    <row r="512" spans="2:17" ht="14.4" x14ac:dyDescent="0.25">
      <c r="B512" s="220" t="s">
        <v>267</v>
      </c>
      <c r="C512" s="222">
        <v>31.08</v>
      </c>
      <c r="D512" s="131">
        <v>22.58</v>
      </c>
      <c r="E512" s="33">
        <v>5</v>
      </c>
      <c r="F512" s="131"/>
      <c r="G512" s="131"/>
      <c r="H512" s="131"/>
      <c r="I512" s="46">
        <f t="shared" si="234"/>
        <v>155.39999999999998</v>
      </c>
      <c r="J512" s="46"/>
      <c r="K512" s="46"/>
      <c r="L512" s="46"/>
      <c r="M512" s="136"/>
      <c r="N512" s="63"/>
      <c r="O512" s="63"/>
      <c r="P512" s="63">
        <f t="shared" si="235"/>
        <v>112.89999999999999</v>
      </c>
      <c r="Q512" s="214">
        <f t="shared" si="236"/>
        <v>112.89999999999999</v>
      </c>
    </row>
    <row r="513" spans="1:18" ht="14.4" x14ac:dyDescent="0.25">
      <c r="B513" s="220" t="s">
        <v>265</v>
      </c>
      <c r="C513" s="222">
        <v>48.78</v>
      </c>
      <c r="D513" s="131">
        <v>30.49</v>
      </c>
      <c r="E513" s="33">
        <v>1</v>
      </c>
      <c r="F513" s="131"/>
      <c r="G513" s="131"/>
      <c r="H513" s="131"/>
      <c r="I513" s="46">
        <f t="shared" si="234"/>
        <v>48.78</v>
      </c>
      <c r="J513" s="46"/>
      <c r="K513" s="46"/>
      <c r="L513" s="46"/>
      <c r="M513" s="136"/>
      <c r="N513" s="63"/>
      <c r="O513" s="63"/>
      <c r="P513" s="63">
        <f t="shared" si="235"/>
        <v>30.49</v>
      </c>
      <c r="Q513" s="214">
        <f t="shared" si="236"/>
        <v>30.49</v>
      </c>
    </row>
    <row r="514" spans="1:18" ht="14.4" x14ac:dyDescent="0.25">
      <c r="B514" s="15" t="s">
        <v>229</v>
      </c>
      <c r="C514" s="73">
        <v>1.65</v>
      </c>
      <c r="D514" s="131">
        <v>7.45</v>
      </c>
      <c r="E514" s="33">
        <v>1</v>
      </c>
      <c r="F514" s="131"/>
      <c r="G514" s="131"/>
      <c r="H514" s="131"/>
      <c r="I514" s="46"/>
      <c r="J514" s="46"/>
      <c r="K514" s="46"/>
      <c r="L514" s="46"/>
      <c r="M514" s="136"/>
      <c r="N514" s="63"/>
      <c r="O514" s="63">
        <f>C514*E514</f>
        <v>1.65</v>
      </c>
      <c r="P514" s="63"/>
      <c r="Q514" s="214"/>
    </row>
    <row r="515" spans="1:18" ht="19.95" customHeight="1" x14ac:dyDescent="0.25">
      <c r="B515" s="134" t="s">
        <v>22</v>
      </c>
      <c r="C515" s="127">
        <f>SUM(C459:C514)</f>
        <v>690.06000000000006</v>
      </c>
      <c r="D515" s="127"/>
      <c r="E515" s="127"/>
      <c r="F515" s="127"/>
      <c r="G515" s="127">
        <f t="shared" ref="G515:Q515" si="238">SUM(G459:G514)</f>
        <v>0</v>
      </c>
      <c r="H515" s="127">
        <f t="shared" si="238"/>
        <v>0</v>
      </c>
      <c r="I515" s="127">
        <f t="shared" si="238"/>
        <v>641.49</v>
      </c>
      <c r="J515" s="127">
        <f t="shared" si="238"/>
        <v>80.5</v>
      </c>
      <c r="K515" s="127">
        <f t="shared" si="238"/>
        <v>79.009999999999991</v>
      </c>
      <c r="L515" s="127">
        <f t="shared" si="238"/>
        <v>26.299999999999997</v>
      </c>
      <c r="M515" s="127">
        <f t="shared" si="238"/>
        <v>0</v>
      </c>
      <c r="N515" s="127">
        <f t="shared" si="238"/>
        <v>0</v>
      </c>
      <c r="O515" s="127">
        <f t="shared" si="238"/>
        <v>51.019999999999996</v>
      </c>
      <c r="P515" s="127">
        <f t="shared" si="238"/>
        <v>760.95999999999992</v>
      </c>
      <c r="Q515" s="127">
        <f t="shared" si="238"/>
        <v>760.95999999999992</v>
      </c>
      <c r="R515" s="1"/>
    </row>
    <row r="516" spans="1:18" ht="19.95" customHeight="1" x14ac:dyDescent="0.25">
      <c r="B516" s="271"/>
      <c r="C516" s="272"/>
      <c r="D516" s="272"/>
      <c r="E516" s="127"/>
      <c r="F516" s="127"/>
      <c r="G516" s="127"/>
      <c r="H516" s="127"/>
      <c r="I516" s="258">
        <v>1</v>
      </c>
      <c r="J516" s="258">
        <v>2</v>
      </c>
      <c r="K516" s="258">
        <v>3</v>
      </c>
      <c r="L516" s="224">
        <v>4</v>
      </c>
      <c r="M516" s="224">
        <v>6</v>
      </c>
      <c r="N516" s="224">
        <v>7</v>
      </c>
      <c r="O516" s="224">
        <v>5</v>
      </c>
      <c r="P516" s="218" t="s">
        <v>194</v>
      </c>
      <c r="Q516" s="255"/>
      <c r="R516" s="1"/>
    </row>
    <row r="517" spans="1:18" ht="40.049999999999997" customHeight="1" x14ac:dyDescent="0.25">
      <c r="B517" s="840" t="s">
        <v>16</v>
      </c>
      <c r="C517" s="841" t="s">
        <v>17</v>
      </c>
      <c r="D517" s="841" t="s">
        <v>18</v>
      </c>
      <c r="E517" s="838" t="s">
        <v>19</v>
      </c>
      <c r="F517" s="838" t="s">
        <v>13</v>
      </c>
      <c r="G517" s="842" t="s">
        <v>24</v>
      </c>
      <c r="H517" s="842" t="s">
        <v>25</v>
      </c>
      <c r="I517" s="842" t="s">
        <v>82</v>
      </c>
      <c r="J517" s="842" t="s">
        <v>83</v>
      </c>
      <c r="K517" s="838" t="s">
        <v>84</v>
      </c>
      <c r="L517" s="838" t="s">
        <v>85</v>
      </c>
      <c r="M517" s="838" t="s">
        <v>86</v>
      </c>
      <c r="N517" s="848" t="s">
        <v>87</v>
      </c>
      <c r="O517" s="848" t="s">
        <v>88</v>
      </c>
      <c r="P517" s="848" t="s">
        <v>193</v>
      </c>
      <c r="Q517" s="848" t="s">
        <v>192</v>
      </c>
    </row>
    <row r="518" spans="1:18" ht="40.049999999999997" customHeight="1" x14ac:dyDescent="0.25">
      <c r="B518" s="840"/>
      <c r="C518" s="841"/>
      <c r="D518" s="841"/>
      <c r="E518" s="839"/>
      <c r="F518" s="839"/>
      <c r="G518" s="839"/>
      <c r="H518" s="839"/>
      <c r="I518" s="839"/>
      <c r="J518" s="839"/>
      <c r="K518" s="839"/>
      <c r="L518" s="839"/>
      <c r="M518" s="839"/>
      <c r="N518" s="849"/>
      <c r="O518" s="849"/>
      <c r="P518" s="849"/>
      <c r="Q518" s="849"/>
    </row>
    <row r="519" spans="1:18" ht="15" customHeight="1" x14ac:dyDescent="0.25">
      <c r="A519" s="141" t="s">
        <v>616</v>
      </c>
      <c r="B519" s="59" t="s">
        <v>615</v>
      </c>
      <c r="C519" s="60"/>
      <c r="D519" s="60"/>
      <c r="E519" s="60"/>
      <c r="F519" s="60"/>
      <c r="G519" s="60"/>
      <c r="H519" s="60"/>
      <c r="I519" s="58"/>
      <c r="J519" s="58"/>
      <c r="K519" s="58"/>
      <c r="L519" s="58"/>
      <c r="M519" s="57"/>
      <c r="N519" s="61"/>
      <c r="O519" s="61"/>
      <c r="P519" s="61"/>
      <c r="Q519" s="61"/>
      <c r="R519" s="1"/>
    </row>
    <row r="520" spans="1:18" ht="15" customHeight="1" x14ac:dyDescent="0.25">
      <c r="A520" s="141"/>
      <c r="B520" s="157" t="s">
        <v>258</v>
      </c>
      <c r="C520" s="566">
        <v>29.09</v>
      </c>
      <c r="D520" s="576">
        <f>27.23-2.27</f>
        <v>24.96</v>
      </c>
      <c r="E520" s="567">
        <v>1</v>
      </c>
      <c r="F520" s="574"/>
      <c r="G520" s="574"/>
      <c r="H520" s="574"/>
      <c r="I520" s="580"/>
      <c r="J520" s="580"/>
      <c r="K520" s="605">
        <f>C520*E520</f>
        <v>29.09</v>
      </c>
      <c r="L520" s="580"/>
      <c r="M520" s="581"/>
      <c r="N520" s="582"/>
      <c r="O520" s="582"/>
      <c r="P520" s="582"/>
      <c r="Q520" s="582"/>
    </row>
    <row r="521" spans="1:18" ht="15" customHeight="1" x14ac:dyDescent="0.25">
      <c r="A521" s="141"/>
      <c r="B521" s="157" t="s">
        <v>346</v>
      </c>
      <c r="C521" s="566">
        <v>43.75</v>
      </c>
      <c r="D521" s="576">
        <v>2.27</v>
      </c>
      <c r="E521" s="567">
        <v>1</v>
      </c>
      <c r="F521" s="574"/>
      <c r="G521" s="574"/>
      <c r="H521" s="574"/>
      <c r="I521" s="580"/>
      <c r="J521" s="580"/>
      <c r="K521" s="580"/>
      <c r="L521" s="580"/>
      <c r="M521" s="581"/>
      <c r="N521" s="582"/>
      <c r="O521" s="606">
        <f>C521*E521</f>
        <v>43.75</v>
      </c>
      <c r="P521" s="582"/>
      <c r="Q521" s="582"/>
    </row>
    <row r="522" spans="1:18" ht="15" customHeight="1" x14ac:dyDescent="0.25">
      <c r="A522" s="141"/>
      <c r="B522" s="157" t="s">
        <v>724</v>
      </c>
      <c r="C522" s="566">
        <v>7.45</v>
      </c>
      <c r="D522" s="578">
        <v>28.1</v>
      </c>
      <c r="E522" s="567">
        <v>1</v>
      </c>
      <c r="F522" s="574"/>
      <c r="G522" s="574"/>
      <c r="H522" s="574"/>
      <c r="I522" s="580"/>
      <c r="J522" s="580"/>
      <c r="K522" s="580"/>
      <c r="L522" s="580"/>
      <c r="M522" s="581"/>
      <c r="N522" s="582"/>
      <c r="O522" s="582"/>
      <c r="P522" s="582"/>
      <c r="Q522" s="582"/>
    </row>
    <row r="523" spans="1:18" ht="15" customHeight="1" x14ac:dyDescent="0.25">
      <c r="A523" s="141"/>
      <c r="B523" s="157" t="s">
        <v>725</v>
      </c>
      <c r="C523" s="566">
        <v>8.23</v>
      </c>
      <c r="D523" s="576">
        <v>10.93</v>
      </c>
      <c r="E523" s="567">
        <v>1</v>
      </c>
      <c r="F523" s="574"/>
      <c r="G523" s="574"/>
      <c r="H523" s="574"/>
      <c r="I523" s="580"/>
      <c r="J523" s="580"/>
      <c r="K523" s="580"/>
      <c r="L523" s="580"/>
      <c r="M523" s="581"/>
      <c r="N523" s="582"/>
      <c r="O523" s="582"/>
      <c r="P523" s="582"/>
      <c r="Q523" s="582"/>
    </row>
    <row r="524" spans="1:18" ht="15" customHeight="1" x14ac:dyDescent="0.25">
      <c r="A524" s="141"/>
      <c r="B524" s="157" t="s">
        <v>726</v>
      </c>
      <c r="C524" s="186">
        <v>3.9</v>
      </c>
      <c r="D524" s="576">
        <v>11.56</v>
      </c>
      <c r="E524" s="567">
        <v>1</v>
      </c>
      <c r="F524" s="574"/>
      <c r="G524" s="574"/>
      <c r="H524" s="574"/>
      <c r="I524" s="580"/>
      <c r="J524" s="580"/>
      <c r="K524" s="580"/>
      <c r="L524" s="580"/>
      <c r="M524" s="581"/>
      <c r="N524" s="582"/>
      <c r="O524" s="582"/>
      <c r="P524" s="582"/>
      <c r="Q524" s="582"/>
    </row>
    <row r="525" spans="1:18" ht="15" customHeight="1" x14ac:dyDescent="0.25">
      <c r="B525" s="220" t="s">
        <v>168</v>
      </c>
      <c r="C525" s="222">
        <v>52.8</v>
      </c>
      <c r="D525" s="513">
        <v>48.08</v>
      </c>
      <c r="E525" s="33">
        <v>1</v>
      </c>
      <c r="F525" s="131"/>
      <c r="G525" s="131"/>
      <c r="H525" s="131"/>
      <c r="I525" s="46"/>
      <c r="J525" s="46"/>
      <c r="K525" s="46"/>
      <c r="L525" s="46"/>
      <c r="M525" s="136"/>
      <c r="N525" s="63"/>
      <c r="O525" s="63">
        <f>C525*E525</f>
        <v>52.8</v>
      </c>
      <c r="P525" s="63"/>
      <c r="Q525" s="214"/>
    </row>
    <row r="526" spans="1:18" ht="15" customHeight="1" x14ac:dyDescent="0.25">
      <c r="B526" s="157" t="s">
        <v>648</v>
      </c>
      <c r="C526" s="73">
        <v>3.6</v>
      </c>
      <c r="D526" s="486">
        <v>10.61</v>
      </c>
      <c r="E526" s="33">
        <v>1</v>
      </c>
      <c r="F526" s="131"/>
      <c r="G526" s="131"/>
      <c r="H526" s="131"/>
      <c r="I526" s="46"/>
      <c r="J526" s="46"/>
      <c r="K526" s="46"/>
      <c r="L526" s="46"/>
      <c r="M526" s="136"/>
      <c r="N526" s="63"/>
      <c r="O526" s="63">
        <f t="shared" ref="O526:O542" si="239">C526*E526</f>
        <v>3.6</v>
      </c>
      <c r="P526" s="63"/>
      <c r="Q526" s="214"/>
    </row>
    <row r="527" spans="1:18" ht="15" customHeight="1" x14ac:dyDescent="0.25">
      <c r="B527" s="15" t="s">
        <v>229</v>
      </c>
      <c r="C527" s="73">
        <v>3.03</v>
      </c>
      <c r="D527" s="486">
        <v>8.51</v>
      </c>
      <c r="E527" s="33">
        <v>1</v>
      </c>
      <c r="F527" s="131"/>
      <c r="G527" s="131"/>
      <c r="H527" s="131"/>
      <c r="I527" s="46"/>
      <c r="J527" s="46"/>
      <c r="K527" s="46"/>
      <c r="L527" s="46"/>
      <c r="M527" s="136"/>
      <c r="N527" s="63"/>
      <c r="O527" s="63">
        <f t="shared" si="239"/>
        <v>3.03</v>
      </c>
      <c r="P527" s="63"/>
      <c r="Q527" s="214"/>
    </row>
    <row r="528" spans="1:18" ht="15" customHeight="1" x14ac:dyDescent="0.25">
      <c r="B528" s="15" t="s">
        <v>229</v>
      </c>
      <c r="C528" s="73">
        <v>1.1000000000000001</v>
      </c>
      <c r="D528" s="486">
        <v>7.44</v>
      </c>
      <c r="E528" s="33">
        <v>1</v>
      </c>
      <c r="F528" s="131"/>
      <c r="G528" s="131"/>
      <c r="H528" s="131"/>
      <c r="I528" s="46"/>
      <c r="J528" s="46"/>
      <c r="K528" s="46"/>
      <c r="L528" s="46"/>
      <c r="M528" s="136"/>
      <c r="N528" s="63"/>
      <c r="O528" s="63">
        <f t="shared" si="239"/>
        <v>1.1000000000000001</v>
      </c>
      <c r="P528" s="63"/>
      <c r="Q528" s="214"/>
    </row>
    <row r="529" spans="2:17" ht="15" customHeight="1" x14ac:dyDescent="0.25">
      <c r="B529" s="15" t="s">
        <v>617</v>
      </c>
      <c r="C529" s="73">
        <v>14.9</v>
      </c>
      <c r="D529" s="486">
        <v>15.55</v>
      </c>
      <c r="E529" s="33">
        <v>1</v>
      </c>
      <c r="F529" s="131"/>
      <c r="G529" s="131"/>
      <c r="H529" s="131"/>
      <c r="I529" s="46"/>
      <c r="J529" s="46"/>
      <c r="K529" s="46"/>
      <c r="L529" s="46"/>
      <c r="M529" s="136"/>
      <c r="N529" s="63"/>
      <c r="O529" s="63">
        <f t="shared" si="239"/>
        <v>14.9</v>
      </c>
      <c r="P529" s="63"/>
      <c r="Q529" s="214"/>
    </row>
    <row r="530" spans="2:17" ht="15" customHeight="1" x14ac:dyDescent="0.25">
      <c r="B530" s="15" t="s">
        <v>213</v>
      </c>
      <c r="C530" s="73">
        <v>3</v>
      </c>
      <c r="D530" s="513">
        <v>7.1</v>
      </c>
      <c r="E530" s="33">
        <v>1</v>
      </c>
      <c r="F530" s="131"/>
      <c r="G530" s="131"/>
      <c r="H530" s="131"/>
      <c r="I530" s="46"/>
      <c r="J530" s="46"/>
      <c r="K530" s="46"/>
      <c r="L530" s="46"/>
      <c r="M530" s="136"/>
      <c r="N530" s="63"/>
      <c r="O530" s="63">
        <f t="shared" si="239"/>
        <v>3</v>
      </c>
      <c r="P530" s="63"/>
      <c r="Q530" s="214"/>
    </row>
    <row r="531" spans="2:17" ht="15" customHeight="1" x14ac:dyDescent="0.25">
      <c r="B531" s="157" t="s">
        <v>168</v>
      </c>
      <c r="C531" s="73">
        <v>19.37</v>
      </c>
      <c r="D531" s="486">
        <v>24.060000000000002</v>
      </c>
      <c r="E531" s="33">
        <v>1</v>
      </c>
      <c r="F531" s="131"/>
      <c r="G531" s="131"/>
      <c r="H531" s="131"/>
      <c r="I531" s="46"/>
      <c r="J531" s="46"/>
      <c r="K531" s="46"/>
      <c r="L531" s="46"/>
      <c r="M531" s="136"/>
      <c r="N531" s="63"/>
      <c r="O531" s="63">
        <f t="shared" si="239"/>
        <v>19.37</v>
      </c>
      <c r="P531" s="63"/>
      <c r="Q531" s="214"/>
    </row>
    <row r="532" spans="2:17" ht="15" customHeight="1" x14ac:dyDescent="0.25">
      <c r="B532" s="15" t="s">
        <v>618</v>
      </c>
      <c r="C532" s="73">
        <v>8.81</v>
      </c>
      <c r="D532" s="486">
        <v>13.45</v>
      </c>
      <c r="E532" s="33">
        <v>1</v>
      </c>
      <c r="F532" s="131"/>
      <c r="G532" s="131"/>
      <c r="H532" s="131"/>
      <c r="I532" s="46"/>
      <c r="J532" s="46"/>
      <c r="K532" s="46"/>
      <c r="L532" s="46"/>
      <c r="M532" s="136"/>
      <c r="N532" s="63"/>
      <c r="O532" s="63">
        <f t="shared" si="239"/>
        <v>8.81</v>
      </c>
      <c r="P532" s="63"/>
      <c r="Q532" s="214"/>
    </row>
    <row r="533" spans="2:17" ht="15" customHeight="1" x14ac:dyDescent="0.25">
      <c r="B533" s="15" t="s">
        <v>205</v>
      </c>
      <c r="C533" s="73">
        <v>1.55</v>
      </c>
      <c r="D533" s="514">
        <v>3.8</v>
      </c>
      <c r="E533" s="33">
        <v>1</v>
      </c>
      <c r="F533" s="131"/>
      <c r="G533" s="131"/>
      <c r="H533" s="131"/>
      <c r="I533" s="46"/>
      <c r="J533" s="46"/>
      <c r="K533" s="46"/>
      <c r="L533" s="46"/>
      <c r="M533" s="136"/>
      <c r="N533" s="63"/>
      <c r="O533" s="63">
        <f t="shared" si="239"/>
        <v>1.55</v>
      </c>
      <c r="P533" s="63"/>
      <c r="Q533" s="214"/>
    </row>
    <row r="534" spans="2:17" ht="15" customHeight="1" x14ac:dyDescent="0.25">
      <c r="B534" s="15" t="s">
        <v>212</v>
      </c>
      <c r="C534" s="73">
        <v>3.16</v>
      </c>
      <c r="D534" s="514">
        <v>8.2799999999999994</v>
      </c>
      <c r="E534" s="33">
        <v>1</v>
      </c>
      <c r="F534" s="131"/>
      <c r="G534" s="131"/>
      <c r="H534" s="131"/>
      <c r="I534" s="46"/>
      <c r="J534" s="46"/>
      <c r="K534" s="46"/>
      <c r="L534" s="46"/>
      <c r="M534" s="136"/>
      <c r="N534" s="63"/>
      <c r="O534" s="63">
        <f t="shared" si="239"/>
        <v>3.16</v>
      </c>
      <c r="P534" s="63"/>
      <c r="Q534" s="214"/>
    </row>
    <row r="535" spans="2:17" ht="15" customHeight="1" x14ac:dyDescent="0.25">
      <c r="B535" s="220" t="s">
        <v>205</v>
      </c>
      <c r="C535" s="222">
        <v>3.13</v>
      </c>
      <c r="D535" s="514">
        <v>5.61</v>
      </c>
      <c r="E535" s="33">
        <v>1</v>
      </c>
      <c r="F535" s="131"/>
      <c r="G535" s="131"/>
      <c r="H535" s="131"/>
      <c r="I535" s="46"/>
      <c r="J535" s="46"/>
      <c r="K535" s="46"/>
      <c r="L535" s="46"/>
      <c r="M535" s="136"/>
      <c r="N535" s="63"/>
      <c r="O535" s="63">
        <f t="shared" si="239"/>
        <v>3.13</v>
      </c>
      <c r="P535" s="63"/>
      <c r="Q535" s="214"/>
    </row>
    <row r="536" spans="2:17" ht="15" customHeight="1" x14ac:dyDescent="0.25">
      <c r="B536" s="15" t="s">
        <v>158</v>
      </c>
      <c r="C536" s="73">
        <v>3.54</v>
      </c>
      <c r="D536" s="514">
        <v>7.6</v>
      </c>
      <c r="E536" s="33">
        <v>1</v>
      </c>
      <c r="F536" s="131"/>
      <c r="G536" s="131"/>
      <c r="H536" s="131"/>
      <c r="I536" s="46"/>
      <c r="J536" s="46"/>
      <c r="K536" s="46"/>
      <c r="L536" s="46"/>
      <c r="M536" s="136"/>
      <c r="N536" s="63"/>
      <c r="O536" s="63">
        <f t="shared" si="239"/>
        <v>3.54</v>
      </c>
      <c r="P536" s="63"/>
      <c r="Q536" s="214"/>
    </row>
    <row r="537" spans="2:17" ht="15" customHeight="1" x14ac:dyDescent="0.25">
      <c r="B537" s="15" t="s">
        <v>619</v>
      </c>
      <c r="C537" s="73">
        <v>5.88</v>
      </c>
      <c r="D537" s="514">
        <v>7.7000000000000011</v>
      </c>
      <c r="E537" s="33">
        <v>1</v>
      </c>
      <c r="F537" s="131"/>
      <c r="G537" s="131"/>
      <c r="H537" s="131"/>
      <c r="I537" s="46"/>
      <c r="J537" s="46"/>
      <c r="K537" s="46"/>
      <c r="L537" s="46"/>
      <c r="M537" s="136"/>
      <c r="N537" s="63"/>
      <c r="O537" s="63">
        <f t="shared" si="239"/>
        <v>5.88</v>
      </c>
      <c r="P537" s="63"/>
      <c r="Q537" s="214"/>
    </row>
    <row r="538" spans="2:17" ht="15" customHeight="1" x14ac:dyDescent="0.25">
      <c r="B538" s="220" t="s">
        <v>205</v>
      </c>
      <c r="C538" s="222">
        <v>3.21</v>
      </c>
      <c r="D538" s="514">
        <v>5.38</v>
      </c>
      <c r="E538" s="33">
        <v>1</v>
      </c>
      <c r="F538" s="131"/>
      <c r="G538" s="131"/>
      <c r="H538" s="131"/>
      <c r="I538" s="46"/>
      <c r="J538" s="46"/>
      <c r="K538" s="46"/>
      <c r="L538" s="46"/>
      <c r="M538" s="136"/>
      <c r="N538" s="63"/>
      <c r="O538" s="63">
        <f t="shared" si="239"/>
        <v>3.21</v>
      </c>
      <c r="P538" s="63"/>
      <c r="Q538" s="214"/>
    </row>
    <row r="539" spans="2:17" ht="15" customHeight="1" x14ac:dyDescent="0.25">
      <c r="B539" s="220" t="s">
        <v>626</v>
      </c>
      <c r="C539" s="222">
        <v>29.23</v>
      </c>
      <c r="D539" s="514">
        <v>27.06</v>
      </c>
      <c r="E539" s="33">
        <v>1</v>
      </c>
      <c r="F539" s="131"/>
      <c r="G539" s="131"/>
      <c r="H539" s="131"/>
      <c r="I539" s="46"/>
      <c r="J539" s="46"/>
      <c r="K539" s="46"/>
      <c r="L539" s="46"/>
      <c r="M539" s="136"/>
      <c r="N539" s="63"/>
      <c r="O539" s="63">
        <f t="shared" si="239"/>
        <v>29.23</v>
      </c>
      <c r="P539" s="63"/>
      <c r="Q539" s="214"/>
    </row>
    <row r="540" spans="2:17" ht="15" customHeight="1" x14ac:dyDescent="0.25">
      <c r="B540" s="15" t="s">
        <v>620</v>
      </c>
      <c r="C540" s="73">
        <v>11.91</v>
      </c>
      <c r="D540" s="514">
        <v>14.92</v>
      </c>
      <c r="E540" s="33">
        <v>1</v>
      </c>
      <c r="F540" s="131"/>
      <c r="G540" s="131"/>
      <c r="H540" s="131"/>
      <c r="I540" s="46"/>
      <c r="J540" s="46"/>
      <c r="K540" s="46"/>
      <c r="L540" s="46"/>
      <c r="M540" s="136"/>
      <c r="N540" s="63"/>
      <c r="O540" s="63">
        <f t="shared" si="239"/>
        <v>11.91</v>
      </c>
      <c r="P540" s="63"/>
      <c r="Q540" s="214"/>
    </row>
    <row r="541" spans="2:17" ht="15" customHeight="1" x14ac:dyDescent="0.25">
      <c r="B541" s="15" t="s">
        <v>621</v>
      </c>
      <c r="C541" s="73">
        <v>18.190000000000001</v>
      </c>
      <c r="D541" s="514">
        <v>17.29</v>
      </c>
      <c r="E541" s="33">
        <v>1</v>
      </c>
      <c r="F541" s="131"/>
      <c r="G541" s="131"/>
      <c r="H541" s="131"/>
      <c r="I541" s="46"/>
      <c r="J541" s="46"/>
      <c r="K541" s="46"/>
      <c r="L541" s="46"/>
      <c r="M541" s="136"/>
      <c r="N541" s="63"/>
      <c r="O541" s="63">
        <f t="shared" si="239"/>
        <v>18.190000000000001</v>
      </c>
      <c r="P541" s="63"/>
      <c r="Q541" s="214"/>
    </row>
    <row r="542" spans="2:17" ht="15" customHeight="1" x14ac:dyDescent="0.25">
      <c r="B542" s="15" t="s">
        <v>622</v>
      </c>
      <c r="C542" s="73">
        <v>24.6</v>
      </c>
      <c r="D542" s="514">
        <v>19.87</v>
      </c>
      <c r="E542" s="33">
        <v>1</v>
      </c>
      <c r="F542" s="131"/>
      <c r="G542" s="131"/>
      <c r="H542" s="131"/>
      <c r="I542" s="46"/>
      <c r="J542" s="46"/>
      <c r="K542" s="46"/>
      <c r="L542" s="46"/>
      <c r="M542" s="136"/>
      <c r="N542" s="63"/>
      <c r="O542" s="63">
        <f t="shared" si="239"/>
        <v>24.6</v>
      </c>
      <c r="P542" s="63"/>
      <c r="Q542" s="214"/>
    </row>
    <row r="543" spans="2:17" ht="15" customHeight="1" x14ac:dyDescent="0.25">
      <c r="B543" s="220" t="s">
        <v>623</v>
      </c>
      <c r="C543" s="222">
        <v>89.27</v>
      </c>
      <c r="D543" s="514">
        <v>38.1</v>
      </c>
      <c r="E543" s="33">
        <v>1</v>
      </c>
      <c r="F543" s="131"/>
      <c r="G543" s="131"/>
      <c r="H543" s="131"/>
      <c r="I543" s="46"/>
      <c r="J543" s="46"/>
      <c r="K543" s="46"/>
      <c r="L543" s="46"/>
      <c r="M543" s="136"/>
      <c r="N543" s="63"/>
      <c r="O543" s="63"/>
      <c r="P543" s="63"/>
      <c r="Q543" s="214"/>
    </row>
    <row r="544" spans="2:17" ht="15" customHeight="1" x14ac:dyDescent="0.25">
      <c r="B544" s="15" t="s">
        <v>624</v>
      </c>
      <c r="C544" s="73">
        <v>67.900000000000006</v>
      </c>
      <c r="D544" s="514">
        <v>32.979999999999997</v>
      </c>
      <c r="E544" s="33">
        <v>1</v>
      </c>
      <c r="F544" s="131"/>
      <c r="G544" s="131"/>
      <c r="H544" s="131"/>
      <c r="I544" s="46"/>
      <c r="J544" s="46"/>
      <c r="K544" s="46"/>
      <c r="L544" s="46"/>
      <c r="M544" s="136"/>
      <c r="N544" s="63"/>
      <c r="O544" s="63"/>
      <c r="P544" s="63"/>
      <c r="Q544" s="214"/>
    </row>
    <row r="545" spans="1:18" ht="15" customHeight="1" x14ac:dyDescent="0.25">
      <c r="B545" s="220" t="s">
        <v>650</v>
      </c>
      <c r="C545" s="222">
        <v>510.76</v>
      </c>
      <c r="D545" s="131">
        <v>131.97999999999999</v>
      </c>
      <c r="E545" s="33">
        <v>1</v>
      </c>
      <c r="F545" s="131"/>
      <c r="G545" s="131"/>
      <c r="H545" s="131"/>
      <c r="I545" s="46"/>
      <c r="J545" s="46"/>
      <c r="K545" s="46"/>
      <c r="L545" s="46"/>
      <c r="M545" s="136"/>
      <c r="N545" s="63"/>
      <c r="O545" s="63"/>
      <c r="P545" s="63"/>
      <c r="Q545" s="214"/>
    </row>
    <row r="546" spans="1:18" ht="19.95" customHeight="1" x14ac:dyDescent="0.25">
      <c r="B546" s="134" t="s">
        <v>22</v>
      </c>
      <c r="C546" s="127">
        <f>SUM(C520:C545)</f>
        <v>971.36</v>
      </c>
      <c r="D546" s="127"/>
      <c r="E546" s="127"/>
      <c r="F546" s="127"/>
      <c r="G546" s="127">
        <f t="shared" ref="G546:Q546" si="240">SUM(G520:G545)</f>
        <v>0</v>
      </c>
      <c r="H546" s="127">
        <f t="shared" si="240"/>
        <v>0</v>
      </c>
      <c r="I546" s="127">
        <f t="shared" si="240"/>
        <v>0</v>
      </c>
      <c r="J546" s="127">
        <f t="shared" si="240"/>
        <v>0</v>
      </c>
      <c r="K546" s="127">
        <f t="shared" si="240"/>
        <v>29.09</v>
      </c>
      <c r="L546" s="127">
        <f t="shared" si="240"/>
        <v>0</v>
      </c>
      <c r="M546" s="127">
        <f t="shared" si="240"/>
        <v>0</v>
      </c>
      <c r="N546" s="127">
        <f t="shared" si="240"/>
        <v>0</v>
      </c>
      <c r="O546" s="127">
        <f t="shared" si="240"/>
        <v>254.75999999999996</v>
      </c>
      <c r="P546" s="127">
        <f t="shared" si="240"/>
        <v>0</v>
      </c>
      <c r="Q546" s="127">
        <f t="shared" si="240"/>
        <v>0</v>
      </c>
      <c r="R546" s="1"/>
    </row>
    <row r="547" spans="1:18" ht="19.95" customHeight="1" x14ac:dyDescent="0.25">
      <c r="B547" s="604"/>
      <c r="C547" s="255"/>
      <c r="D547" s="127"/>
      <c r="E547" s="255"/>
      <c r="F547" s="255"/>
      <c r="G547" s="127"/>
      <c r="H547" s="127"/>
      <c r="I547" s="258">
        <v>1</v>
      </c>
      <c r="J547" s="258">
        <v>2</v>
      </c>
      <c r="K547" s="258">
        <v>3</v>
      </c>
      <c r="L547" s="224">
        <v>4</v>
      </c>
      <c r="M547" s="224">
        <v>6</v>
      </c>
      <c r="N547" s="224">
        <v>7</v>
      </c>
      <c r="O547" s="224">
        <v>5</v>
      </c>
      <c r="P547" s="218" t="s">
        <v>194</v>
      </c>
      <c r="Q547" s="255"/>
      <c r="R547" s="1"/>
    </row>
    <row r="548" spans="1:18" ht="40.049999999999997" customHeight="1" x14ac:dyDescent="0.25">
      <c r="B548" s="852" t="s">
        <v>16</v>
      </c>
      <c r="C548" s="838" t="s">
        <v>17</v>
      </c>
      <c r="D548" s="841" t="s">
        <v>18</v>
      </c>
      <c r="E548" s="838" t="s">
        <v>19</v>
      </c>
      <c r="F548" s="838" t="s">
        <v>13</v>
      </c>
      <c r="G548" s="842" t="s">
        <v>24</v>
      </c>
      <c r="H548" s="842" t="s">
        <v>25</v>
      </c>
      <c r="I548" s="842" t="s">
        <v>82</v>
      </c>
      <c r="J548" s="842" t="s">
        <v>83</v>
      </c>
      <c r="K548" s="838" t="s">
        <v>84</v>
      </c>
      <c r="L548" s="838" t="s">
        <v>85</v>
      </c>
      <c r="M548" s="838" t="s">
        <v>86</v>
      </c>
      <c r="N548" s="848" t="s">
        <v>87</v>
      </c>
      <c r="O548" s="848" t="s">
        <v>88</v>
      </c>
      <c r="P548" s="848" t="s">
        <v>193</v>
      </c>
      <c r="Q548" s="848" t="s">
        <v>192</v>
      </c>
    </row>
    <row r="549" spans="1:18" ht="40.049999999999997" customHeight="1" x14ac:dyDescent="0.25">
      <c r="B549" s="843"/>
      <c r="C549" s="839"/>
      <c r="D549" s="841"/>
      <c r="E549" s="839"/>
      <c r="F549" s="839"/>
      <c r="G549" s="839"/>
      <c r="H549" s="839"/>
      <c r="I549" s="839"/>
      <c r="J549" s="839"/>
      <c r="K549" s="839"/>
      <c r="L549" s="839"/>
      <c r="M549" s="839"/>
      <c r="N549" s="849"/>
      <c r="O549" s="849"/>
      <c r="P549" s="849"/>
      <c r="Q549" s="849"/>
    </row>
    <row r="550" spans="1:18" ht="15" customHeight="1" x14ac:dyDescent="0.25">
      <c r="A550" s="141" t="s">
        <v>727</v>
      </c>
      <c r="B550" s="59" t="s">
        <v>625</v>
      </c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1"/>
    </row>
    <row r="551" spans="1:18" ht="15" customHeight="1" x14ac:dyDescent="0.25">
      <c r="A551" s="559"/>
      <c r="B551" s="220" t="s">
        <v>258</v>
      </c>
      <c r="C551" s="603">
        <v>25.74</v>
      </c>
      <c r="D551" s="576">
        <v>24.28</v>
      </c>
      <c r="E551" s="33">
        <v>1</v>
      </c>
      <c r="F551" s="29"/>
      <c r="G551" s="30"/>
      <c r="H551" s="30"/>
      <c r="I551" s="156"/>
      <c r="J551" s="156"/>
      <c r="K551" s="156">
        <f>C551*E551</f>
        <v>25.74</v>
      </c>
      <c r="L551" s="31"/>
      <c r="M551" s="31"/>
      <c r="N551" s="31"/>
      <c r="O551" s="31"/>
      <c r="P551" s="31"/>
      <c r="Q551" s="568"/>
    </row>
    <row r="552" spans="1:18" ht="15" customHeight="1" x14ac:dyDescent="0.25">
      <c r="A552" s="559"/>
      <c r="B552" s="220" t="s">
        <v>617</v>
      </c>
      <c r="C552" s="603">
        <v>14.87</v>
      </c>
      <c r="D552" s="576">
        <v>17.64</v>
      </c>
      <c r="E552" s="33">
        <v>1</v>
      </c>
      <c r="F552" s="29"/>
      <c r="G552" s="30"/>
      <c r="H552" s="30"/>
      <c r="I552" s="156">
        <f>C552*E552</f>
        <v>14.87</v>
      </c>
      <c r="J552" s="156"/>
      <c r="K552" s="156"/>
      <c r="L552" s="31"/>
      <c r="M552" s="31"/>
      <c r="N552" s="31"/>
      <c r="O552" s="31"/>
      <c r="P552" s="31">
        <f>D552*E552</f>
        <v>17.64</v>
      </c>
      <c r="Q552" s="214">
        <f t="shared" ref="Q552" si="241">D552*E552</f>
        <v>17.64</v>
      </c>
    </row>
    <row r="553" spans="1:18" ht="15" customHeight="1" x14ac:dyDescent="0.25">
      <c r="A553" s="559"/>
      <c r="B553" s="157" t="s">
        <v>346</v>
      </c>
      <c r="C553" s="566">
        <v>43.48</v>
      </c>
      <c r="D553" s="578">
        <v>27.85</v>
      </c>
      <c r="E553" s="33">
        <v>1</v>
      </c>
      <c r="F553" s="29"/>
      <c r="G553" s="30"/>
      <c r="H553" s="30"/>
      <c r="I553" s="156"/>
      <c r="J553" s="156"/>
      <c r="K553" s="156"/>
      <c r="L553" s="31"/>
      <c r="M553" s="31"/>
      <c r="N553" s="31"/>
      <c r="O553" s="31">
        <f>C553*E553</f>
        <v>43.48</v>
      </c>
      <c r="P553" s="31"/>
      <c r="Q553" s="568"/>
    </row>
    <row r="554" spans="1:18" ht="15" customHeight="1" x14ac:dyDescent="0.25">
      <c r="A554" s="559"/>
      <c r="B554" s="157" t="s">
        <v>724</v>
      </c>
      <c r="C554" s="566">
        <v>7.45</v>
      </c>
      <c r="D554" s="576">
        <v>10.93</v>
      </c>
      <c r="E554" s="33">
        <v>1</v>
      </c>
      <c r="F554" s="29"/>
      <c r="G554" s="30"/>
      <c r="H554" s="30"/>
      <c r="I554" s="156"/>
      <c r="J554" s="156"/>
      <c r="K554" s="156"/>
      <c r="L554" s="31"/>
      <c r="M554" s="31"/>
      <c r="N554" s="31"/>
      <c r="O554" s="31"/>
      <c r="P554" s="31"/>
      <c r="Q554" s="568"/>
    </row>
    <row r="555" spans="1:18" ht="15" customHeight="1" x14ac:dyDescent="0.25">
      <c r="A555" s="559"/>
      <c r="B555" s="157" t="s">
        <v>725</v>
      </c>
      <c r="C555" s="566">
        <v>8.23</v>
      </c>
      <c r="D555" s="576">
        <v>11.56</v>
      </c>
      <c r="E555" s="33">
        <v>1</v>
      </c>
      <c r="F555" s="29"/>
      <c r="G555" s="30"/>
      <c r="H555" s="30"/>
      <c r="I555" s="156"/>
      <c r="J555" s="156"/>
      <c r="K555" s="156"/>
      <c r="L555" s="31"/>
      <c r="M555" s="31"/>
      <c r="N555" s="31"/>
      <c r="O555" s="31"/>
      <c r="P555" s="31"/>
      <c r="Q555" s="568"/>
    </row>
    <row r="556" spans="1:18" ht="15" customHeight="1" x14ac:dyDescent="0.25">
      <c r="A556" s="563"/>
      <c r="B556" s="157" t="s">
        <v>726</v>
      </c>
      <c r="C556" s="186">
        <v>3.9</v>
      </c>
      <c r="D556" s="576">
        <v>8.33</v>
      </c>
      <c r="E556" s="33">
        <v>1</v>
      </c>
      <c r="F556" s="29"/>
      <c r="G556" s="30"/>
      <c r="H556" s="30"/>
      <c r="I556" s="156"/>
      <c r="J556" s="156"/>
      <c r="K556" s="156"/>
      <c r="L556" s="31"/>
      <c r="M556" s="31">
        <f>H556</f>
        <v>0</v>
      </c>
      <c r="N556" s="31"/>
      <c r="O556" s="31"/>
      <c r="P556" s="31"/>
      <c r="Q556" s="568"/>
    </row>
    <row r="557" spans="1:18" ht="19.95" customHeight="1" x14ac:dyDescent="0.25">
      <c r="B557" s="128" t="s">
        <v>22</v>
      </c>
      <c r="C557" s="129">
        <f>SUM(C551:C556)</f>
        <v>103.67000000000002</v>
      </c>
      <c r="D557" s="129"/>
      <c r="E557" s="129"/>
      <c r="F557" s="129"/>
      <c r="G557" s="129">
        <f t="shared" ref="G557:Q557" si="242">SUM(G551:G556)</f>
        <v>0</v>
      </c>
      <c r="H557" s="129">
        <f t="shared" si="242"/>
        <v>0</v>
      </c>
      <c r="I557" s="129">
        <f t="shared" si="242"/>
        <v>14.87</v>
      </c>
      <c r="J557" s="129">
        <f t="shared" si="242"/>
        <v>0</v>
      </c>
      <c r="K557" s="129">
        <f t="shared" si="242"/>
        <v>25.74</v>
      </c>
      <c r="L557" s="129">
        <f t="shared" si="242"/>
        <v>0</v>
      </c>
      <c r="M557" s="129">
        <f t="shared" si="242"/>
        <v>0</v>
      </c>
      <c r="N557" s="129">
        <f t="shared" si="242"/>
        <v>0</v>
      </c>
      <c r="O557" s="129">
        <f t="shared" si="242"/>
        <v>43.48</v>
      </c>
      <c r="P557" s="129">
        <f t="shared" si="242"/>
        <v>17.64</v>
      </c>
      <c r="Q557" s="129">
        <f t="shared" si="242"/>
        <v>17.64</v>
      </c>
      <c r="R557" s="1"/>
    </row>
    <row r="558" spans="1:18" ht="15" customHeight="1" x14ac:dyDescent="0.25">
      <c r="B558" s="508"/>
      <c r="C558" s="270"/>
      <c r="D558" s="270"/>
      <c r="E558" s="270"/>
      <c r="F558" s="270"/>
      <c r="G558" s="270"/>
      <c r="H558" s="270"/>
      <c r="I558" s="270"/>
      <c r="J558" s="270"/>
      <c r="K558" s="270"/>
      <c r="L558" s="270"/>
      <c r="M558" s="270"/>
      <c r="N558" s="270"/>
      <c r="O558" s="270"/>
      <c r="P558" s="270"/>
      <c r="Q558" s="270"/>
    </row>
    <row r="559" spans="1:18" ht="15" customHeight="1" x14ac:dyDescent="0.25"/>
    <row r="560" spans="1:18" ht="19.95" customHeight="1" x14ac:dyDescent="0.25">
      <c r="B560" s="137" t="s">
        <v>92</v>
      </c>
      <c r="C560" s="158">
        <f>SUM(C89,C173,C244,C311,C387,C454,C515,C546)</f>
        <v>7942.41</v>
      </c>
      <c r="D560" s="158"/>
      <c r="E560" s="158"/>
      <c r="F560" s="158"/>
      <c r="G560" s="158">
        <f t="shared" ref="G560:Q560" si="243">SUM(G89,G173,G244,G311,G387,G454,G515,G546)</f>
        <v>0</v>
      </c>
      <c r="H560" s="158">
        <f t="shared" si="243"/>
        <v>0</v>
      </c>
      <c r="I560" s="158">
        <f t="shared" si="243"/>
        <v>4920.07</v>
      </c>
      <c r="J560" s="158">
        <f t="shared" si="243"/>
        <v>548.67000000000007</v>
      </c>
      <c r="K560" s="158">
        <f t="shared" si="243"/>
        <v>727.55000000000007</v>
      </c>
      <c r="L560" s="158">
        <f t="shared" si="243"/>
        <v>322.44</v>
      </c>
      <c r="M560" s="158">
        <f t="shared" si="243"/>
        <v>244.19</v>
      </c>
      <c r="N560" s="158">
        <f t="shared" si="243"/>
        <v>21.77</v>
      </c>
      <c r="O560" s="158">
        <f t="shared" si="243"/>
        <v>742.98</v>
      </c>
      <c r="P560" s="158">
        <f t="shared" si="243"/>
        <v>6006.5800000000008</v>
      </c>
      <c r="Q560" s="158">
        <f t="shared" si="243"/>
        <v>6006.5800000000008</v>
      </c>
      <c r="R560" s="1"/>
    </row>
  </sheetData>
  <mergeCells count="144">
    <mergeCell ref="K517:K518"/>
    <mergeCell ref="L517:L518"/>
    <mergeCell ref="M517:M518"/>
    <mergeCell ref="N517:N518"/>
    <mergeCell ref="O517:O518"/>
    <mergeCell ref="P517:P518"/>
    <mergeCell ref="Q517:Q518"/>
    <mergeCell ref="B517:B518"/>
    <mergeCell ref="C517:C518"/>
    <mergeCell ref="D517:D518"/>
    <mergeCell ref="E517:E518"/>
    <mergeCell ref="F517:F518"/>
    <mergeCell ref="G517:G518"/>
    <mergeCell ref="H517:H518"/>
    <mergeCell ref="I517:I518"/>
    <mergeCell ref="J517:J518"/>
    <mergeCell ref="K456:K457"/>
    <mergeCell ref="L456:L457"/>
    <mergeCell ref="M456:M457"/>
    <mergeCell ref="N456:N457"/>
    <mergeCell ref="O456:O457"/>
    <mergeCell ref="B389:B390"/>
    <mergeCell ref="C389:C390"/>
    <mergeCell ref="D389:D390"/>
    <mergeCell ref="E389:E390"/>
    <mergeCell ref="F389:F390"/>
    <mergeCell ref="B456:B457"/>
    <mergeCell ref="C456:C457"/>
    <mergeCell ref="D456:D457"/>
    <mergeCell ref="E456:E457"/>
    <mergeCell ref="F456:F457"/>
    <mergeCell ref="G456:G457"/>
    <mergeCell ref="H456:H457"/>
    <mergeCell ref="I456:I457"/>
    <mergeCell ref="J456:J457"/>
    <mergeCell ref="G389:G390"/>
    <mergeCell ref="H389:H390"/>
    <mergeCell ref="I389:I390"/>
    <mergeCell ref="J389:J390"/>
    <mergeCell ref="K389:K390"/>
    <mergeCell ref="K246:K247"/>
    <mergeCell ref="L246:L247"/>
    <mergeCell ref="M246:M247"/>
    <mergeCell ref="N246:N247"/>
    <mergeCell ref="O246:O247"/>
    <mergeCell ref="K313:K314"/>
    <mergeCell ref="L313:L314"/>
    <mergeCell ref="M313:M314"/>
    <mergeCell ref="N313:N314"/>
    <mergeCell ref="O313:O314"/>
    <mergeCell ref="L389:L390"/>
    <mergeCell ref="M389:M390"/>
    <mergeCell ref="N389:N390"/>
    <mergeCell ref="O389:O390"/>
    <mergeCell ref="B313:B314"/>
    <mergeCell ref="C313:C314"/>
    <mergeCell ref="D313:D314"/>
    <mergeCell ref="E313:E314"/>
    <mergeCell ref="F313:F314"/>
    <mergeCell ref="G313:G314"/>
    <mergeCell ref="H313:H314"/>
    <mergeCell ref="I313:I314"/>
    <mergeCell ref="J313:J314"/>
    <mergeCell ref="B246:B247"/>
    <mergeCell ref="C246:C247"/>
    <mergeCell ref="D246:D247"/>
    <mergeCell ref="E246:E247"/>
    <mergeCell ref="F246:F247"/>
    <mergeCell ref="G246:G247"/>
    <mergeCell ref="H246:H247"/>
    <mergeCell ref="I246:I247"/>
    <mergeCell ref="J246:J247"/>
    <mergeCell ref="K91:K92"/>
    <mergeCell ref="L91:L92"/>
    <mergeCell ref="M91:M92"/>
    <mergeCell ref="N91:N92"/>
    <mergeCell ref="O91:O92"/>
    <mergeCell ref="B175:B176"/>
    <mergeCell ref="C175:C176"/>
    <mergeCell ref="D175:D176"/>
    <mergeCell ref="E175:E176"/>
    <mergeCell ref="F175:F176"/>
    <mergeCell ref="G175:G176"/>
    <mergeCell ref="H175:H176"/>
    <mergeCell ref="I175:I176"/>
    <mergeCell ref="J175:J176"/>
    <mergeCell ref="K175:K176"/>
    <mergeCell ref="L175:L176"/>
    <mergeCell ref="M175:M176"/>
    <mergeCell ref="N175:N176"/>
    <mergeCell ref="O175:O176"/>
    <mergeCell ref="B91:B92"/>
    <mergeCell ref="C91:C92"/>
    <mergeCell ref="D91:D92"/>
    <mergeCell ref="E91:E92"/>
    <mergeCell ref="F91:F92"/>
    <mergeCell ref="G91:G92"/>
    <mergeCell ref="H91:H92"/>
    <mergeCell ref="I91:I92"/>
    <mergeCell ref="J91:J92"/>
    <mergeCell ref="B9:B10"/>
    <mergeCell ref="C9:C10"/>
    <mergeCell ref="D9:D10"/>
    <mergeCell ref="E9:E10"/>
    <mergeCell ref="F9:F10"/>
    <mergeCell ref="O9:O10"/>
    <mergeCell ref="I9:I10"/>
    <mergeCell ref="G9:G10"/>
    <mergeCell ref="N9:N10"/>
    <mergeCell ref="M9:M10"/>
    <mergeCell ref="H9:H10"/>
    <mergeCell ref="J9:J10"/>
    <mergeCell ref="K9:K10"/>
    <mergeCell ref="L9:L10"/>
    <mergeCell ref="Q389:Q390"/>
    <mergeCell ref="Q456:Q457"/>
    <mergeCell ref="P9:P10"/>
    <mergeCell ref="P91:P92"/>
    <mergeCell ref="P175:P176"/>
    <mergeCell ref="P246:P247"/>
    <mergeCell ref="P313:P314"/>
    <mergeCell ref="P389:P390"/>
    <mergeCell ref="P456:P457"/>
    <mergeCell ref="Q9:Q10"/>
    <mergeCell ref="Q91:Q92"/>
    <mergeCell ref="Q175:Q176"/>
    <mergeCell ref="Q246:Q247"/>
    <mergeCell ref="Q313:Q314"/>
    <mergeCell ref="K548:K549"/>
    <mergeCell ref="L548:L549"/>
    <mergeCell ref="M548:M549"/>
    <mergeCell ref="N548:N549"/>
    <mergeCell ref="O548:O549"/>
    <mergeCell ref="P548:P549"/>
    <mergeCell ref="Q548:Q549"/>
    <mergeCell ref="B548:B549"/>
    <mergeCell ref="C548:C549"/>
    <mergeCell ref="D548:D549"/>
    <mergeCell ref="E548:E549"/>
    <mergeCell ref="F548:F549"/>
    <mergeCell ref="G548:G549"/>
    <mergeCell ref="H548:H549"/>
    <mergeCell ref="I548:I549"/>
    <mergeCell ref="J548:J54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179"/>
  <sheetViews>
    <sheetView workbookViewId="0">
      <selection activeCell="L128" sqref="L128"/>
    </sheetView>
  </sheetViews>
  <sheetFormatPr defaultRowHeight="13.2" x14ac:dyDescent="0.25"/>
  <cols>
    <col min="2" max="2" width="28.109375" customWidth="1"/>
    <col min="3" max="3" width="16.77734375" customWidth="1"/>
    <col min="4" max="4" width="17.88671875" customWidth="1"/>
    <col min="5" max="5" width="8.77734375" customWidth="1"/>
    <col min="6" max="6" width="9.77734375" customWidth="1"/>
    <col min="9" max="9" width="7.77734375" customWidth="1"/>
    <col min="10" max="10" width="10.77734375" customWidth="1"/>
  </cols>
  <sheetData>
    <row r="2" spans="2:12" ht="15" customHeight="1" x14ac:dyDescent="0.25">
      <c r="B2" s="152" t="s">
        <v>55</v>
      </c>
      <c r="C2" s="69"/>
    </row>
    <row r="3" spans="2:12" ht="15" customHeight="1" x14ac:dyDescent="0.25">
      <c r="B3" s="152" t="s">
        <v>56</v>
      </c>
      <c r="C3" s="69"/>
    </row>
    <row r="4" spans="2:12" ht="15" customHeight="1" x14ac:dyDescent="0.25">
      <c r="B4" s="154" t="s">
        <v>54</v>
      </c>
      <c r="C4" s="71"/>
      <c r="D4" s="69"/>
      <c r="E4" s="72"/>
    </row>
    <row r="5" spans="2:12" ht="15" customHeight="1" x14ac:dyDescent="0.25"/>
    <row r="6" spans="2:12" ht="15" customHeight="1" x14ac:dyDescent="0.25">
      <c r="B6" s="161" t="s">
        <v>380</v>
      </c>
    </row>
    <row r="7" spans="2:12" ht="15" customHeight="1" x14ac:dyDescent="0.25"/>
    <row r="8" spans="2:12" ht="15.6" x14ac:dyDescent="0.25">
      <c r="B8" s="2" t="s">
        <v>381</v>
      </c>
      <c r="C8" s="184"/>
      <c r="D8" s="184"/>
      <c r="E8" s="184"/>
      <c r="F8" s="184"/>
      <c r="G8" s="184"/>
      <c r="H8" s="184"/>
      <c r="I8" s="184"/>
      <c r="J8" s="184"/>
      <c r="K8" s="184"/>
      <c r="L8" s="185"/>
    </row>
    <row r="9" spans="2:12" ht="13.8" x14ac:dyDescent="0.25">
      <c r="B9" s="281"/>
      <c r="C9" s="868" t="s">
        <v>382</v>
      </c>
      <c r="D9" s="865" t="s">
        <v>23</v>
      </c>
      <c r="E9" s="862" t="s">
        <v>17</v>
      </c>
      <c r="F9" s="862" t="s">
        <v>18</v>
      </c>
      <c r="G9" s="862" t="s">
        <v>2</v>
      </c>
      <c r="H9" s="862" t="s">
        <v>4</v>
      </c>
      <c r="I9" s="862" t="s">
        <v>19</v>
      </c>
      <c r="J9" s="863" t="s">
        <v>394</v>
      </c>
      <c r="K9" s="865" t="s">
        <v>7</v>
      </c>
      <c r="L9" s="870" t="s">
        <v>8</v>
      </c>
    </row>
    <row r="10" spans="2:12" ht="13.8" x14ac:dyDescent="0.25">
      <c r="B10" s="281"/>
      <c r="C10" s="869"/>
      <c r="D10" s="866"/>
      <c r="E10" s="862"/>
      <c r="F10" s="862"/>
      <c r="G10" s="862"/>
      <c r="H10" s="862"/>
      <c r="I10" s="862"/>
      <c r="J10" s="864"/>
      <c r="K10" s="866"/>
      <c r="L10" s="870"/>
    </row>
    <row r="11" spans="2:12" ht="14.4" x14ac:dyDescent="0.25">
      <c r="B11" s="11"/>
      <c r="C11" s="282" t="s">
        <v>388</v>
      </c>
      <c r="D11" s="21" t="s">
        <v>168</v>
      </c>
      <c r="E11" s="283"/>
      <c r="F11" s="205"/>
      <c r="G11" s="12"/>
      <c r="H11" s="12"/>
      <c r="I11" s="247"/>
      <c r="J11" s="284"/>
      <c r="K11" s="12"/>
      <c r="L11" s="285"/>
    </row>
    <row r="12" spans="2:12" ht="14.4" x14ac:dyDescent="0.25">
      <c r="B12" s="11"/>
      <c r="C12" s="286"/>
      <c r="D12" s="287" t="s">
        <v>383</v>
      </c>
      <c r="E12" s="288">
        <f>F12*H12*I12</f>
        <v>8.91</v>
      </c>
      <c r="F12" s="288">
        <v>2.7</v>
      </c>
      <c r="G12" s="289"/>
      <c r="H12" s="16">
        <v>1.65</v>
      </c>
      <c r="I12" s="84">
        <v>2</v>
      </c>
      <c r="J12" s="54">
        <f>E12</f>
        <v>8.91</v>
      </c>
      <c r="K12" s="278" t="s">
        <v>3</v>
      </c>
      <c r="L12" s="16">
        <f>J12</f>
        <v>8.91</v>
      </c>
    </row>
    <row r="13" spans="2:12" ht="14.4" x14ac:dyDescent="0.25">
      <c r="B13" s="287"/>
      <c r="C13" s="286"/>
      <c r="D13" s="287" t="s">
        <v>383</v>
      </c>
      <c r="E13" s="288">
        <f>F13*H13*I13</f>
        <v>5.9685000000000006</v>
      </c>
      <c r="F13" s="288">
        <v>3.45</v>
      </c>
      <c r="G13" s="289"/>
      <c r="H13" s="16">
        <v>1.73</v>
      </c>
      <c r="I13" s="84">
        <v>1</v>
      </c>
      <c r="J13" s="54">
        <f t="shared" ref="J13:J16" si="0">E13</f>
        <v>5.9685000000000006</v>
      </c>
      <c r="K13" s="15" t="s">
        <v>3</v>
      </c>
      <c r="L13" s="16">
        <f t="shared" ref="L13:L16" si="1">J13</f>
        <v>5.9685000000000006</v>
      </c>
    </row>
    <row r="14" spans="2:12" ht="14.4" x14ac:dyDescent="0.25">
      <c r="B14" s="287"/>
      <c r="C14" s="290"/>
      <c r="D14" s="287" t="s">
        <v>383</v>
      </c>
      <c r="E14" s="288">
        <f>F14*H14*I14</f>
        <v>9.1770000000000014</v>
      </c>
      <c r="F14" s="293">
        <v>3.45</v>
      </c>
      <c r="G14" s="314"/>
      <c r="H14" s="294">
        <v>2.66</v>
      </c>
      <c r="I14" s="84">
        <v>1</v>
      </c>
      <c r="J14" s="54">
        <f t="shared" si="0"/>
        <v>9.1770000000000014</v>
      </c>
      <c r="K14" s="15" t="s">
        <v>3</v>
      </c>
      <c r="L14" s="16">
        <f t="shared" si="1"/>
        <v>9.1770000000000014</v>
      </c>
    </row>
    <row r="15" spans="2:12" ht="14.4" x14ac:dyDescent="0.25">
      <c r="B15" s="287"/>
      <c r="C15" s="290"/>
      <c r="D15" s="287" t="s">
        <v>383</v>
      </c>
      <c r="E15" s="288">
        <f>F15*H15*I15</f>
        <v>0.24749999999999997</v>
      </c>
      <c r="F15" s="293">
        <v>1.65</v>
      </c>
      <c r="G15" s="314"/>
      <c r="H15" s="294">
        <v>0.15</v>
      </c>
      <c r="I15" s="84">
        <v>1</v>
      </c>
      <c r="J15" s="54">
        <f t="shared" si="0"/>
        <v>0.24749999999999997</v>
      </c>
      <c r="K15" s="15" t="s">
        <v>3</v>
      </c>
      <c r="L15" s="16">
        <f t="shared" si="1"/>
        <v>0.24749999999999997</v>
      </c>
    </row>
    <row r="16" spans="2:12" ht="14.4" x14ac:dyDescent="0.25">
      <c r="B16" s="287"/>
      <c r="C16" s="290"/>
      <c r="D16" s="291" t="s">
        <v>384</v>
      </c>
      <c r="E16" s="292">
        <f>F16*G16*I16</f>
        <v>5.9399999999999995</v>
      </c>
      <c r="F16" s="293">
        <v>1.65</v>
      </c>
      <c r="G16" s="294">
        <v>0.18</v>
      </c>
      <c r="H16" s="294"/>
      <c r="I16" s="84">
        <v>20</v>
      </c>
      <c r="J16" s="54">
        <f t="shared" si="0"/>
        <v>5.9399999999999995</v>
      </c>
      <c r="K16" s="15" t="s">
        <v>3</v>
      </c>
      <c r="L16" s="16">
        <f t="shared" si="1"/>
        <v>5.9399999999999995</v>
      </c>
    </row>
    <row r="17" spans="2:13" ht="14.4" x14ac:dyDescent="0.25">
      <c r="B17" s="21" t="s">
        <v>385</v>
      </c>
      <c r="C17" s="295"/>
      <c r="D17" s="12"/>
      <c r="E17" s="10"/>
      <c r="F17" s="10"/>
      <c r="G17" s="10"/>
      <c r="H17" s="10"/>
      <c r="I17" s="247"/>
      <c r="J17" s="14"/>
      <c r="K17" s="14" t="s">
        <v>3</v>
      </c>
      <c r="L17" s="35">
        <f>SUM(L12:L16)</f>
        <v>30.243000000000002</v>
      </c>
      <c r="M17" s="1"/>
    </row>
    <row r="18" spans="2:13" ht="13.8" customHeight="1" x14ac:dyDescent="0.25">
      <c r="B18" s="281"/>
      <c r="C18" s="868" t="s">
        <v>382</v>
      </c>
      <c r="D18" s="865" t="s">
        <v>23</v>
      </c>
      <c r="E18" s="862" t="s">
        <v>17</v>
      </c>
      <c r="F18" s="862" t="s">
        <v>18</v>
      </c>
      <c r="G18" s="862" t="s">
        <v>2</v>
      </c>
      <c r="H18" s="862" t="s">
        <v>4</v>
      </c>
      <c r="I18" s="862" t="s">
        <v>19</v>
      </c>
      <c r="J18" s="863" t="s">
        <v>394</v>
      </c>
      <c r="K18" s="865" t="s">
        <v>7</v>
      </c>
      <c r="L18" s="870" t="s">
        <v>8</v>
      </c>
      <c r="M18" s="1"/>
    </row>
    <row r="19" spans="2:13" ht="13.8" x14ac:dyDescent="0.25">
      <c r="B19" s="281"/>
      <c r="C19" s="869"/>
      <c r="D19" s="866"/>
      <c r="E19" s="862"/>
      <c r="F19" s="862"/>
      <c r="G19" s="862"/>
      <c r="H19" s="862"/>
      <c r="I19" s="862"/>
      <c r="J19" s="864"/>
      <c r="K19" s="866"/>
      <c r="L19" s="870"/>
      <c r="M19" s="1"/>
    </row>
    <row r="20" spans="2:13" ht="14.4" x14ac:dyDescent="0.25">
      <c r="B20" s="11"/>
      <c r="C20" s="282" t="s">
        <v>389</v>
      </c>
      <c r="D20" s="21" t="s">
        <v>168</v>
      </c>
      <c r="E20" s="283"/>
      <c r="F20" s="205"/>
      <c r="G20" s="12"/>
      <c r="H20" s="12"/>
      <c r="I20" s="247"/>
      <c r="J20" s="284"/>
      <c r="K20" s="12"/>
      <c r="L20" s="285"/>
      <c r="M20" s="1"/>
    </row>
    <row r="21" spans="2:13" ht="14.4" x14ac:dyDescent="0.25">
      <c r="B21" s="11"/>
      <c r="C21" s="286"/>
      <c r="D21" s="287" t="s">
        <v>383</v>
      </c>
      <c r="E21" s="288">
        <f>F21*H21*I21</f>
        <v>9.8999999999999986</v>
      </c>
      <c r="F21" s="288">
        <v>3</v>
      </c>
      <c r="G21" s="289"/>
      <c r="H21" s="16">
        <v>1.65</v>
      </c>
      <c r="I21" s="84">
        <v>2</v>
      </c>
      <c r="J21" s="54">
        <f>E21</f>
        <v>9.8999999999999986</v>
      </c>
      <c r="K21" s="278" t="s">
        <v>3</v>
      </c>
      <c r="L21" s="16">
        <f>J21</f>
        <v>9.8999999999999986</v>
      </c>
      <c r="M21" s="1"/>
    </row>
    <row r="22" spans="2:13" ht="14.4" x14ac:dyDescent="0.25">
      <c r="B22" s="287"/>
      <c r="C22" s="286"/>
      <c r="D22" s="287" t="s">
        <v>383</v>
      </c>
      <c r="E22" s="288">
        <f>F22*H22*I22</f>
        <v>5.9685000000000006</v>
      </c>
      <c r="F22" s="288">
        <v>3.45</v>
      </c>
      <c r="G22" s="289"/>
      <c r="H22" s="16">
        <v>1.73</v>
      </c>
      <c r="I22" s="84">
        <v>1</v>
      </c>
      <c r="J22" s="54">
        <f t="shared" ref="J22:J24" si="2">E22</f>
        <v>5.9685000000000006</v>
      </c>
      <c r="K22" s="15" t="s">
        <v>3</v>
      </c>
      <c r="L22" s="16">
        <f t="shared" ref="L22:L24" si="3">J22</f>
        <v>5.9685000000000006</v>
      </c>
      <c r="M22" s="1"/>
    </row>
    <row r="23" spans="2:13" ht="14.4" x14ac:dyDescent="0.25">
      <c r="B23" s="287"/>
      <c r="C23" s="290"/>
      <c r="D23" s="287" t="s">
        <v>383</v>
      </c>
      <c r="E23" s="288">
        <f>F23*H23*I23</f>
        <v>8.6594999999999995</v>
      </c>
      <c r="F23" s="293">
        <v>3.45</v>
      </c>
      <c r="G23" s="314"/>
      <c r="H23" s="294">
        <v>2.5099999999999998</v>
      </c>
      <c r="I23" s="84">
        <v>1</v>
      </c>
      <c r="J23" s="54">
        <f t="shared" si="2"/>
        <v>8.6594999999999995</v>
      </c>
      <c r="K23" s="15" t="s">
        <v>3</v>
      </c>
      <c r="L23" s="16">
        <f t="shared" si="3"/>
        <v>8.6594999999999995</v>
      </c>
      <c r="M23" s="1"/>
    </row>
    <row r="24" spans="2:13" ht="14.4" x14ac:dyDescent="0.25">
      <c r="B24" s="287"/>
      <c r="C24" s="290"/>
      <c r="D24" s="291" t="s">
        <v>384</v>
      </c>
      <c r="E24" s="292">
        <f>F24*G24*I24</f>
        <v>6.5339999999999998</v>
      </c>
      <c r="F24" s="293">
        <v>1.65</v>
      </c>
      <c r="G24" s="294">
        <v>0.18</v>
      </c>
      <c r="H24" s="294"/>
      <c r="I24" s="84">
        <v>22</v>
      </c>
      <c r="J24" s="54">
        <f t="shared" si="2"/>
        <v>6.5339999999999998</v>
      </c>
      <c r="K24" s="15" t="s">
        <v>3</v>
      </c>
      <c r="L24" s="16">
        <f t="shared" si="3"/>
        <v>6.5339999999999998</v>
      </c>
      <c r="M24" s="1"/>
    </row>
    <row r="25" spans="2:13" ht="14.4" x14ac:dyDescent="0.25">
      <c r="B25" s="21" t="s">
        <v>385</v>
      </c>
      <c r="C25" s="295"/>
      <c r="D25" s="12"/>
      <c r="E25" s="10"/>
      <c r="F25" s="10"/>
      <c r="G25" s="10"/>
      <c r="H25" s="10"/>
      <c r="I25" s="247"/>
      <c r="J25" s="14"/>
      <c r="K25" s="14" t="s">
        <v>3</v>
      </c>
      <c r="L25" s="35">
        <f>SUM(L21:L24)</f>
        <v>31.061999999999998</v>
      </c>
      <c r="M25" s="1"/>
    </row>
    <row r="26" spans="2:13" ht="13.8" customHeight="1" x14ac:dyDescent="0.25">
      <c r="B26" s="281"/>
      <c r="C26" s="868" t="s">
        <v>382</v>
      </c>
      <c r="D26" s="865" t="s">
        <v>23</v>
      </c>
      <c r="E26" s="862" t="s">
        <v>17</v>
      </c>
      <c r="F26" s="862" t="s">
        <v>18</v>
      </c>
      <c r="G26" s="862" t="s">
        <v>2</v>
      </c>
      <c r="H26" s="862" t="s">
        <v>4</v>
      </c>
      <c r="I26" s="862" t="s">
        <v>19</v>
      </c>
      <c r="J26" s="863" t="s">
        <v>394</v>
      </c>
      <c r="K26" s="865" t="s">
        <v>7</v>
      </c>
      <c r="L26" s="870" t="s">
        <v>8</v>
      </c>
      <c r="M26" s="1"/>
    </row>
    <row r="27" spans="2:13" ht="13.8" x14ac:dyDescent="0.25">
      <c r="B27" s="281"/>
      <c r="C27" s="869"/>
      <c r="D27" s="866"/>
      <c r="E27" s="862"/>
      <c r="F27" s="862"/>
      <c r="G27" s="862"/>
      <c r="H27" s="862"/>
      <c r="I27" s="862"/>
      <c r="J27" s="864"/>
      <c r="K27" s="866"/>
      <c r="L27" s="870"/>
      <c r="M27" s="1"/>
    </row>
    <row r="28" spans="2:13" ht="14.4" x14ac:dyDescent="0.25">
      <c r="B28" s="11"/>
      <c r="C28" s="282" t="s">
        <v>390</v>
      </c>
      <c r="D28" s="21" t="s">
        <v>168</v>
      </c>
      <c r="E28" s="283"/>
      <c r="F28" s="205"/>
      <c r="G28" s="12"/>
      <c r="H28" s="12"/>
      <c r="I28" s="247"/>
      <c r="J28" s="284"/>
      <c r="K28" s="12"/>
      <c r="L28" s="285"/>
      <c r="M28" s="1"/>
    </row>
    <row r="29" spans="2:13" ht="14.4" x14ac:dyDescent="0.25">
      <c r="B29" s="11"/>
      <c r="C29" s="286"/>
      <c r="D29" s="287" t="s">
        <v>383</v>
      </c>
      <c r="E29" s="288">
        <f>F29*H29*I29</f>
        <v>9.8999999999999986</v>
      </c>
      <c r="F29" s="288">
        <v>3</v>
      </c>
      <c r="G29" s="289"/>
      <c r="H29" s="16">
        <v>1.65</v>
      </c>
      <c r="I29" s="84">
        <v>2</v>
      </c>
      <c r="J29" s="54">
        <f>E29</f>
        <v>9.8999999999999986</v>
      </c>
      <c r="K29" s="278" t="s">
        <v>3</v>
      </c>
      <c r="L29" s="16">
        <f>J29</f>
        <v>9.8999999999999986</v>
      </c>
      <c r="M29" s="1"/>
    </row>
    <row r="30" spans="2:13" ht="14.4" x14ac:dyDescent="0.25">
      <c r="B30" s="287"/>
      <c r="C30" s="286"/>
      <c r="D30" s="287" t="s">
        <v>383</v>
      </c>
      <c r="E30" s="288">
        <f>F30*H30*I30</f>
        <v>5.9685000000000006</v>
      </c>
      <c r="F30" s="288">
        <v>3.45</v>
      </c>
      <c r="G30" s="289"/>
      <c r="H30" s="16">
        <v>1.73</v>
      </c>
      <c r="I30" s="84">
        <v>1</v>
      </c>
      <c r="J30" s="54">
        <f t="shared" ref="J30:J32" si="4">E30</f>
        <v>5.9685000000000006</v>
      </c>
      <c r="K30" s="15" t="s">
        <v>3</v>
      </c>
      <c r="L30" s="16">
        <f t="shared" ref="L30:L32" si="5">J30</f>
        <v>5.9685000000000006</v>
      </c>
      <c r="M30" s="1"/>
    </row>
    <row r="31" spans="2:13" ht="14.4" x14ac:dyDescent="0.25">
      <c r="B31" s="287"/>
      <c r="C31" s="290"/>
      <c r="D31" s="287" t="s">
        <v>383</v>
      </c>
      <c r="E31" s="288">
        <f>F31*H31*I31</f>
        <v>8.6594999999999995</v>
      </c>
      <c r="F31" s="293">
        <v>3.45</v>
      </c>
      <c r="G31" s="314"/>
      <c r="H31" s="294">
        <v>2.5099999999999998</v>
      </c>
      <c r="I31" s="84">
        <v>1</v>
      </c>
      <c r="J31" s="54">
        <f t="shared" si="4"/>
        <v>8.6594999999999995</v>
      </c>
      <c r="K31" s="15" t="s">
        <v>3</v>
      </c>
      <c r="L31" s="16">
        <f t="shared" si="5"/>
        <v>8.6594999999999995</v>
      </c>
      <c r="M31" s="1"/>
    </row>
    <row r="32" spans="2:13" ht="14.4" x14ac:dyDescent="0.25">
      <c r="B32" s="287"/>
      <c r="C32" s="290"/>
      <c r="D32" s="291" t="s">
        <v>384</v>
      </c>
      <c r="E32" s="292">
        <f>F32*G32*I32</f>
        <v>6.5339999999999998</v>
      </c>
      <c r="F32" s="293">
        <v>1.65</v>
      </c>
      <c r="G32" s="294">
        <v>0.18</v>
      </c>
      <c r="H32" s="294"/>
      <c r="I32" s="84">
        <v>22</v>
      </c>
      <c r="J32" s="54">
        <f t="shared" si="4"/>
        <v>6.5339999999999998</v>
      </c>
      <c r="K32" s="15" t="s">
        <v>3</v>
      </c>
      <c r="L32" s="16">
        <f t="shared" si="5"/>
        <v>6.5339999999999998</v>
      </c>
      <c r="M32" s="1"/>
    </row>
    <row r="33" spans="2:13" ht="14.4" x14ac:dyDescent="0.25">
      <c r="B33" s="21" t="s">
        <v>385</v>
      </c>
      <c r="C33" s="295"/>
      <c r="D33" s="12"/>
      <c r="E33" s="10"/>
      <c r="F33" s="10"/>
      <c r="G33" s="10"/>
      <c r="H33" s="10"/>
      <c r="I33" s="247"/>
      <c r="J33" s="14"/>
      <c r="K33" s="14" t="s">
        <v>3</v>
      </c>
      <c r="L33" s="35">
        <f>SUM(L29:L32)</f>
        <v>31.061999999999998</v>
      </c>
      <c r="M33" s="1"/>
    </row>
    <row r="34" spans="2:13" ht="14.4" x14ac:dyDescent="0.25">
      <c r="B34" s="21"/>
      <c r="C34" s="297"/>
      <c r="D34" s="205"/>
      <c r="E34" s="10"/>
      <c r="F34" s="10"/>
      <c r="G34" s="10"/>
      <c r="H34" s="10"/>
      <c r="I34" s="247"/>
      <c r="J34" s="207"/>
      <c r="K34" s="207"/>
      <c r="L34" s="35"/>
      <c r="M34" s="1"/>
    </row>
    <row r="35" spans="2:13" ht="14.4" x14ac:dyDescent="0.25">
      <c r="B35" s="21" t="s">
        <v>391</v>
      </c>
      <c r="C35" s="297"/>
      <c r="D35" s="205"/>
      <c r="E35" s="10"/>
      <c r="F35" s="10"/>
      <c r="G35" s="10"/>
      <c r="H35" s="10"/>
      <c r="I35" s="247"/>
      <c r="J35" s="207"/>
      <c r="K35" s="207" t="s">
        <v>3</v>
      </c>
      <c r="L35" s="35">
        <f>L17+L25+L33</f>
        <v>92.36699999999999</v>
      </c>
      <c r="M35" s="1"/>
    </row>
    <row r="36" spans="2:13" ht="14.4" x14ac:dyDescent="0.25">
      <c r="B36" s="21"/>
      <c r="C36" s="297"/>
      <c r="D36" s="205"/>
      <c r="E36" s="10"/>
      <c r="F36" s="10"/>
      <c r="G36" s="10"/>
      <c r="H36" s="10"/>
      <c r="I36" s="247"/>
      <c r="J36" s="207"/>
      <c r="K36" s="207"/>
      <c r="L36" s="35"/>
      <c r="M36" s="1"/>
    </row>
    <row r="37" spans="2:13" ht="15.6" x14ac:dyDescent="0.25">
      <c r="B37" s="296" t="s">
        <v>386</v>
      </c>
      <c r="C37" s="297"/>
      <c r="D37" s="205"/>
      <c r="E37" s="10"/>
      <c r="F37" s="10"/>
      <c r="G37" s="10"/>
      <c r="H37" s="10"/>
      <c r="I37" s="247"/>
      <c r="J37" s="207"/>
      <c r="K37" s="207"/>
      <c r="L37" s="35"/>
      <c r="M37" s="1"/>
    </row>
    <row r="38" spans="2:13" ht="13.8" customHeight="1" x14ac:dyDescent="0.25">
      <c r="B38" s="298"/>
      <c r="C38" s="873" t="s">
        <v>382</v>
      </c>
      <c r="D38" s="865" t="s">
        <v>23</v>
      </c>
      <c r="E38" s="862" t="s">
        <v>17</v>
      </c>
      <c r="F38" s="862" t="s">
        <v>18</v>
      </c>
      <c r="G38" s="862" t="s">
        <v>2</v>
      </c>
      <c r="H38" s="862" t="s">
        <v>4</v>
      </c>
      <c r="I38" s="862" t="s">
        <v>19</v>
      </c>
      <c r="J38" s="863" t="s">
        <v>394</v>
      </c>
      <c r="K38" s="865" t="s">
        <v>7</v>
      </c>
      <c r="L38" s="872" t="s">
        <v>8</v>
      </c>
    </row>
    <row r="39" spans="2:13" ht="13.8" x14ac:dyDescent="0.25">
      <c r="B39" s="281"/>
      <c r="C39" s="874"/>
      <c r="D39" s="866"/>
      <c r="E39" s="862"/>
      <c r="F39" s="862"/>
      <c r="G39" s="862"/>
      <c r="H39" s="862"/>
      <c r="I39" s="862"/>
      <c r="J39" s="864"/>
      <c r="K39" s="866"/>
      <c r="L39" s="872"/>
    </row>
    <row r="40" spans="2:13" ht="14.4" x14ac:dyDescent="0.25">
      <c r="B40" s="281"/>
      <c r="C40" s="282" t="s">
        <v>388</v>
      </c>
      <c r="D40" s="21" t="s">
        <v>168</v>
      </c>
      <c r="E40" s="299"/>
      <c r="F40" s="299"/>
      <c r="G40" s="299"/>
      <c r="H40" s="299"/>
      <c r="I40" s="299"/>
      <c r="J40" s="300"/>
      <c r="K40" s="301"/>
      <c r="L40" s="302"/>
      <c r="M40" s="1"/>
    </row>
    <row r="41" spans="2:13" ht="14.4" x14ac:dyDescent="0.25">
      <c r="B41" s="281"/>
      <c r="C41" s="301"/>
      <c r="D41" s="11" t="s">
        <v>383</v>
      </c>
      <c r="E41" s="303"/>
      <c r="F41" s="303">
        <v>30.36</v>
      </c>
      <c r="G41" s="303"/>
      <c r="H41" s="303"/>
      <c r="I41" s="304">
        <v>1</v>
      </c>
      <c r="J41" s="305"/>
      <c r="K41" s="306" t="s">
        <v>197</v>
      </c>
      <c r="L41" s="307">
        <f>F41*I41</f>
        <v>30.36</v>
      </c>
    </row>
    <row r="42" spans="2:13" ht="14.4" x14ac:dyDescent="0.25">
      <c r="B42" s="281"/>
      <c r="C42" s="301"/>
      <c r="D42" s="308" t="s">
        <v>384</v>
      </c>
      <c r="E42" s="303"/>
      <c r="F42" s="303"/>
      <c r="G42" s="303">
        <v>0.18</v>
      </c>
      <c r="H42" s="303"/>
      <c r="I42" s="304">
        <v>40</v>
      </c>
      <c r="J42" s="305"/>
      <c r="K42" s="306" t="s">
        <v>197</v>
      </c>
      <c r="L42" s="309">
        <f>G42*I42</f>
        <v>7.1999999999999993</v>
      </c>
    </row>
    <row r="43" spans="2:13" ht="14.4" x14ac:dyDescent="0.25">
      <c r="B43" s="310"/>
      <c r="C43" s="14" t="s">
        <v>387</v>
      </c>
      <c r="D43" s="12"/>
      <c r="E43" s="311"/>
      <c r="F43" s="312"/>
      <c r="G43" s="19"/>
      <c r="H43" s="10"/>
      <c r="I43" s="247"/>
      <c r="J43" s="313"/>
      <c r="K43" s="14" t="s">
        <v>197</v>
      </c>
      <c r="L43" s="106">
        <f>SUM(L41:L42)</f>
        <v>37.56</v>
      </c>
    </row>
    <row r="44" spans="2:13" ht="13.8" customHeight="1" x14ac:dyDescent="0.25">
      <c r="B44" s="298"/>
      <c r="C44" s="873" t="s">
        <v>382</v>
      </c>
      <c r="D44" s="865" t="s">
        <v>23</v>
      </c>
      <c r="E44" s="862" t="s">
        <v>17</v>
      </c>
      <c r="F44" s="862" t="s">
        <v>18</v>
      </c>
      <c r="G44" s="862" t="s">
        <v>2</v>
      </c>
      <c r="H44" s="862" t="s">
        <v>4</v>
      </c>
      <c r="I44" s="862" t="s">
        <v>19</v>
      </c>
      <c r="J44" s="863" t="s">
        <v>394</v>
      </c>
      <c r="K44" s="865" t="s">
        <v>7</v>
      </c>
      <c r="L44" s="872" t="s">
        <v>8</v>
      </c>
    </row>
    <row r="45" spans="2:13" ht="13.8" x14ac:dyDescent="0.25">
      <c r="B45" s="281"/>
      <c r="C45" s="874"/>
      <c r="D45" s="866"/>
      <c r="E45" s="862"/>
      <c r="F45" s="862"/>
      <c r="G45" s="862"/>
      <c r="H45" s="862"/>
      <c r="I45" s="862"/>
      <c r="J45" s="864"/>
      <c r="K45" s="866"/>
      <c r="L45" s="872"/>
    </row>
    <row r="46" spans="2:13" ht="14.4" x14ac:dyDescent="0.25">
      <c r="B46" s="281"/>
      <c r="C46" s="282" t="s">
        <v>389</v>
      </c>
      <c r="D46" s="21" t="s">
        <v>168</v>
      </c>
      <c r="E46" s="299"/>
      <c r="F46" s="299"/>
      <c r="G46" s="299"/>
      <c r="H46" s="299"/>
      <c r="I46" s="299"/>
      <c r="J46" s="300"/>
      <c r="K46" s="301"/>
      <c r="L46" s="302"/>
      <c r="M46" s="1"/>
    </row>
    <row r="47" spans="2:13" ht="14.4" x14ac:dyDescent="0.25">
      <c r="B47" s="281"/>
      <c r="C47" s="301"/>
      <c r="D47" s="11" t="s">
        <v>383</v>
      </c>
      <c r="E47" s="303"/>
      <c r="F47" s="303">
        <v>27.66</v>
      </c>
      <c r="G47" s="303"/>
      <c r="H47" s="303"/>
      <c r="I47" s="304">
        <v>1</v>
      </c>
      <c r="J47" s="305"/>
      <c r="K47" s="306" t="s">
        <v>197</v>
      </c>
      <c r="L47" s="307">
        <f>F47*I47</f>
        <v>27.66</v>
      </c>
    </row>
    <row r="48" spans="2:13" ht="14.4" x14ac:dyDescent="0.25">
      <c r="B48" s="281"/>
      <c r="C48" s="301"/>
      <c r="D48" s="308" t="s">
        <v>384</v>
      </c>
      <c r="E48" s="303"/>
      <c r="F48" s="303"/>
      <c r="G48" s="303">
        <v>0.18</v>
      </c>
      <c r="H48" s="303"/>
      <c r="I48" s="304">
        <v>44</v>
      </c>
      <c r="J48" s="305"/>
      <c r="K48" s="306" t="s">
        <v>197</v>
      </c>
      <c r="L48" s="309">
        <f>G48*I48</f>
        <v>7.92</v>
      </c>
    </row>
    <row r="49" spans="2:13" ht="14.4" x14ac:dyDescent="0.25">
      <c r="B49" s="310"/>
      <c r="C49" s="14" t="s">
        <v>387</v>
      </c>
      <c r="D49" s="12"/>
      <c r="E49" s="311"/>
      <c r="F49" s="312"/>
      <c r="G49" s="19"/>
      <c r="H49" s="10"/>
      <c r="I49" s="247"/>
      <c r="J49" s="313"/>
      <c r="K49" s="14" t="s">
        <v>197</v>
      </c>
      <c r="L49" s="106">
        <f>SUM(L47:L48)</f>
        <v>35.58</v>
      </c>
    </row>
    <row r="50" spans="2:13" ht="13.8" customHeight="1" x14ac:dyDescent="0.25">
      <c r="B50" s="298"/>
      <c r="C50" s="873" t="s">
        <v>382</v>
      </c>
      <c r="D50" s="865" t="s">
        <v>23</v>
      </c>
      <c r="E50" s="862" t="s">
        <v>17</v>
      </c>
      <c r="F50" s="862" t="s">
        <v>18</v>
      </c>
      <c r="G50" s="862" t="s">
        <v>2</v>
      </c>
      <c r="H50" s="862" t="s">
        <v>4</v>
      </c>
      <c r="I50" s="862" t="s">
        <v>19</v>
      </c>
      <c r="J50" s="863" t="s">
        <v>394</v>
      </c>
      <c r="K50" s="865" t="s">
        <v>7</v>
      </c>
      <c r="L50" s="872" t="s">
        <v>8</v>
      </c>
    </row>
    <row r="51" spans="2:13" ht="13.8" x14ac:dyDescent="0.25">
      <c r="B51" s="281"/>
      <c r="C51" s="874"/>
      <c r="D51" s="866"/>
      <c r="E51" s="862"/>
      <c r="F51" s="862"/>
      <c r="G51" s="862"/>
      <c r="H51" s="862"/>
      <c r="I51" s="862"/>
      <c r="J51" s="864"/>
      <c r="K51" s="866"/>
      <c r="L51" s="872"/>
    </row>
    <row r="52" spans="2:13" ht="14.4" x14ac:dyDescent="0.25">
      <c r="B52" s="281"/>
      <c r="C52" s="282" t="s">
        <v>390</v>
      </c>
      <c r="D52" s="21" t="s">
        <v>168</v>
      </c>
      <c r="E52" s="299"/>
      <c r="F52" s="299"/>
      <c r="G52" s="299"/>
      <c r="H52" s="299"/>
      <c r="I52" s="299"/>
      <c r="J52" s="300"/>
      <c r="K52" s="301"/>
      <c r="L52" s="302"/>
      <c r="M52" s="1"/>
    </row>
    <row r="53" spans="2:13" ht="14.4" x14ac:dyDescent="0.25">
      <c r="B53" s="281"/>
      <c r="C53" s="301"/>
      <c r="D53" s="11" t="s">
        <v>383</v>
      </c>
      <c r="E53" s="303"/>
      <c r="F53" s="303">
        <v>27.66</v>
      </c>
      <c r="G53" s="303"/>
      <c r="H53" s="303"/>
      <c r="I53" s="304">
        <v>1</v>
      </c>
      <c r="J53" s="305"/>
      <c r="K53" s="306" t="s">
        <v>197</v>
      </c>
      <c r="L53" s="307">
        <f>F53*I53</f>
        <v>27.66</v>
      </c>
    </row>
    <row r="54" spans="2:13" ht="14.4" x14ac:dyDescent="0.25">
      <c r="B54" s="281"/>
      <c r="C54" s="301"/>
      <c r="D54" s="308" t="s">
        <v>384</v>
      </c>
      <c r="E54" s="303"/>
      <c r="F54" s="303"/>
      <c r="G54" s="303">
        <v>0.18</v>
      </c>
      <c r="H54" s="303"/>
      <c r="I54" s="304">
        <v>44</v>
      </c>
      <c r="J54" s="305"/>
      <c r="K54" s="306" t="s">
        <v>197</v>
      </c>
      <c r="L54" s="309">
        <f>G54*I54</f>
        <v>7.92</v>
      </c>
    </row>
    <row r="55" spans="2:13" ht="14.4" x14ac:dyDescent="0.25">
      <c r="B55" s="310"/>
      <c r="C55" s="14" t="s">
        <v>387</v>
      </c>
      <c r="D55" s="12"/>
      <c r="E55" s="311"/>
      <c r="F55" s="312"/>
      <c r="G55" s="19"/>
      <c r="H55" s="10"/>
      <c r="I55" s="247"/>
      <c r="J55" s="313"/>
      <c r="K55" s="14" t="s">
        <v>197</v>
      </c>
      <c r="L55" s="106">
        <f>SUM(L53:L54)</f>
        <v>35.58</v>
      </c>
    </row>
    <row r="56" spans="2:13" ht="14.4" x14ac:dyDescent="0.25">
      <c r="B56" s="316"/>
      <c r="C56" s="14"/>
      <c r="D56" s="12"/>
      <c r="E56" s="311"/>
      <c r="F56" s="312"/>
      <c r="G56" s="19"/>
      <c r="H56" s="10"/>
      <c r="I56" s="247"/>
      <c r="J56" s="313"/>
      <c r="K56" s="14"/>
      <c r="L56" s="106"/>
    </row>
    <row r="57" spans="2:13" ht="15" customHeight="1" x14ac:dyDescent="0.25">
      <c r="B57" s="21" t="s">
        <v>391</v>
      </c>
      <c r="C57" s="315"/>
      <c r="D57" s="12"/>
      <c r="E57" s="10"/>
      <c r="F57" s="10"/>
      <c r="G57" s="10"/>
      <c r="H57" s="10"/>
      <c r="I57" s="247"/>
      <c r="J57" s="14"/>
      <c r="K57" s="14" t="s">
        <v>197</v>
      </c>
      <c r="L57" s="106">
        <f>L43+L49+L55</f>
        <v>108.72</v>
      </c>
    </row>
    <row r="58" spans="2:13" ht="15" customHeight="1" x14ac:dyDescent="0.25">
      <c r="B58" s="501"/>
      <c r="C58" s="607"/>
      <c r="D58" s="502"/>
      <c r="E58" s="150"/>
      <c r="F58" s="150"/>
      <c r="G58" s="150"/>
      <c r="H58" s="150"/>
      <c r="I58" s="608"/>
      <c r="J58" s="495"/>
      <c r="K58" s="495"/>
      <c r="L58" s="503"/>
    </row>
    <row r="60" spans="2:13" ht="15.6" x14ac:dyDescent="0.25">
      <c r="B60" s="2" t="s">
        <v>728</v>
      </c>
      <c r="C60" s="184"/>
      <c r="D60" s="184"/>
      <c r="E60" s="184"/>
      <c r="F60" s="184"/>
      <c r="G60" s="184"/>
      <c r="H60" s="184"/>
      <c r="I60" s="184"/>
      <c r="J60" s="184"/>
      <c r="K60" s="184"/>
      <c r="L60" s="185"/>
    </row>
    <row r="61" spans="2:13" ht="13.8" x14ac:dyDescent="0.25">
      <c r="B61" s="281"/>
      <c r="C61" s="868" t="s">
        <v>382</v>
      </c>
      <c r="D61" s="865" t="s">
        <v>23</v>
      </c>
      <c r="E61" s="862" t="s">
        <v>17</v>
      </c>
      <c r="F61" s="862" t="s">
        <v>18</v>
      </c>
      <c r="G61" s="862" t="s">
        <v>2</v>
      </c>
      <c r="H61" s="862" t="s">
        <v>4</v>
      </c>
      <c r="I61" s="862" t="s">
        <v>19</v>
      </c>
      <c r="J61" s="863" t="s">
        <v>394</v>
      </c>
      <c r="K61" s="865" t="s">
        <v>7</v>
      </c>
      <c r="L61" s="870" t="s">
        <v>8</v>
      </c>
    </row>
    <row r="62" spans="2:13" ht="13.8" x14ac:dyDescent="0.25">
      <c r="B62" s="281"/>
      <c r="C62" s="869"/>
      <c r="D62" s="866"/>
      <c r="E62" s="862"/>
      <c r="F62" s="862"/>
      <c r="G62" s="862"/>
      <c r="H62" s="862"/>
      <c r="I62" s="862"/>
      <c r="J62" s="864"/>
      <c r="K62" s="866"/>
      <c r="L62" s="870"/>
    </row>
    <row r="63" spans="2:13" ht="14.4" x14ac:dyDescent="0.25">
      <c r="B63" s="11"/>
      <c r="C63" s="282" t="s">
        <v>388</v>
      </c>
      <c r="D63" s="21" t="s">
        <v>168</v>
      </c>
      <c r="E63" s="283"/>
      <c r="F63" s="205"/>
      <c r="G63" s="12"/>
      <c r="H63" s="12"/>
      <c r="I63" s="247"/>
      <c r="J63" s="284"/>
      <c r="K63" s="12"/>
      <c r="L63" s="285"/>
    </row>
    <row r="64" spans="2:13" ht="14.4" x14ac:dyDescent="0.25">
      <c r="B64" s="11"/>
      <c r="C64" s="286"/>
      <c r="D64" s="287" t="s">
        <v>383</v>
      </c>
      <c r="E64" s="288">
        <f>F64*H64*I64</f>
        <v>0</v>
      </c>
      <c r="F64" s="288"/>
      <c r="G64" s="289"/>
      <c r="H64" s="16"/>
      <c r="I64" s="84">
        <v>2</v>
      </c>
      <c r="J64" s="54">
        <f>E64</f>
        <v>0</v>
      </c>
      <c r="K64" s="278" t="s">
        <v>3</v>
      </c>
      <c r="L64" s="16">
        <f>J64</f>
        <v>0</v>
      </c>
    </row>
    <row r="65" spans="2:13" ht="14.4" x14ac:dyDescent="0.25">
      <c r="B65" s="287"/>
      <c r="C65" s="286"/>
      <c r="D65" s="287" t="s">
        <v>383</v>
      </c>
      <c r="E65" s="288">
        <f>F65*H65*I65</f>
        <v>0</v>
      </c>
      <c r="F65" s="288"/>
      <c r="G65" s="289"/>
      <c r="H65" s="16"/>
      <c r="I65" s="84">
        <v>1</v>
      </c>
      <c r="J65" s="54">
        <f t="shared" ref="J65:J68" si="6">E65</f>
        <v>0</v>
      </c>
      <c r="K65" s="15" t="s">
        <v>3</v>
      </c>
      <c r="L65" s="16">
        <f t="shared" ref="L65:L68" si="7">J65</f>
        <v>0</v>
      </c>
    </row>
    <row r="66" spans="2:13" ht="14.4" x14ac:dyDescent="0.25">
      <c r="B66" s="287"/>
      <c r="C66" s="290"/>
      <c r="D66" s="287" t="s">
        <v>383</v>
      </c>
      <c r="E66" s="288">
        <f>F66*H66*I66</f>
        <v>0</v>
      </c>
      <c r="F66" s="293"/>
      <c r="G66" s="314"/>
      <c r="H66" s="294"/>
      <c r="I66" s="84">
        <v>1</v>
      </c>
      <c r="J66" s="54">
        <f t="shared" si="6"/>
        <v>0</v>
      </c>
      <c r="K66" s="15" t="s">
        <v>3</v>
      </c>
      <c r="L66" s="16">
        <f t="shared" si="7"/>
        <v>0</v>
      </c>
    </row>
    <row r="67" spans="2:13" ht="14.4" x14ac:dyDescent="0.25">
      <c r="B67" s="287"/>
      <c r="C67" s="290"/>
      <c r="D67" s="287" t="s">
        <v>383</v>
      </c>
      <c r="E67" s="288">
        <f>F67*H67*I67</f>
        <v>0</v>
      </c>
      <c r="F67" s="293"/>
      <c r="G67" s="314"/>
      <c r="H67" s="294"/>
      <c r="I67" s="84">
        <v>1</v>
      </c>
      <c r="J67" s="54">
        <f t="shared" si="6"/>
        <v>0</v>
      </c>
      <c r="K67" s="15" t="s">
        <v>3</v>
      </c>
      <c r="L67" s="16">
        <f t="shared" si="7"/>
        <v>0</v>
      </c>
    </row>
    <row r="68" spans="2:13" ht="14.4" x14ac:dyDescent="0.25">
      <c r="B68" s="287"/>
      <c r="C68" s="290"/>
      <c r="D68" s="291" t="s">
        <v>384</v>
      </c>
      <c r="E68" s="292">
        <f>F68*G68*I68</f>
        <v>0</v>
      </c>
      <c r="F68" s="293"/>
      <c r="G68" s="294">
        <v>0.18</v>
      </c>
      <c r="H68" s="294"/>
      <c r="I68" s="84"/>
      <c r="J68" s="54">
        <f t="shared" si="6"/>
        <v>0</v>
      </c>
      <c r="K68" s="15" t="s">
        <v>3</v>
      </c>
      <c r="L68" s="16">
        <f t="shared" si="7"/>
        <v>0</v>
      </c>
    </row>
    <row r="69" spans="2:13" ht="14.4" x14ac:dyDescent="0.25">
      <c r="B69" s="21" t="s">
        <v>385</v>
      </c>
      <c r="C69" s="295"/>
      <c r="D69" s="12"/>
      <c r="E69" s="10"/>
      <c r="F69" s="10"/>
      <c r="G69" s="10"/>
      <c r="H69" s="10"/>
      <c r="I69" s="247"/>
      <c r="J69" s="14"/>
      <c r="K69" s="14" t="s">
        <v>3</v>
      </c>
      <c r="L69" s="35">
        <f>SUM(L64:L68)</f>
        <v>0</v>
      </c>
      <c r="M69" s="1"/>
    </row>
    <row r="70" spans="2:13" ht="13.8" x14ac:dyDescent="0.25">
      <c r="B70" s="281"/>
      <c r="C70" s="868" t="s">
        <v>382</v>
      </c>
      <c r="D70" s="865" t="s">
        <v>23</v>
      </c>
      <c r="E70" s="862" t="s">
        <v>17</v>
      </c>
      <c r="F70" s="862" t="s">
        <v>18</v>
      </c>
      <c r="G70" s="862" t="s">
        <v>2</v>
      </c>
      <c r="H70" s="862" t="s">
        <v>4</v>
      </c>
      <c r="I70" s="862" t="s">
        <v>19</v>
      </c>
      <c r="J70" s="863" t="s">
        <v>394</v>
      </c>
      <c r="K70" s="865" t="s">
        <v>7</v>
      </c>
      <c r="L70" s="871" t="s">
        <v>8</v>
      </c>
      <c r="M70" s="1"/>
    </row>
    <row r="71" spans="2:13" ht="13.8" x14ac:dyDescent="0.25">
      <c r="B71" s="281"/>
      <c r="C71" s="869"/>
      <c r="D71" s="866"/>
      <c r="E71" s="862"/>
      <c r="F71" s="862"/>
      <c r="G71" s="862"/>
      <c r="H71" s="862"/>
      <c r="I71" s="862"/>
      <c r="J71" s="864"/>
      <c r="K71" s="866"/>
      <c r="L71" s="871"/>
      <c r="M71" s="1"/>
    </row>
    <row r="72" spans="2:13" ht="14.4" x14ac:dyDescent="0.25">
      <c r="B72" s="11"/>
      <c r="C72" s="282" t="s">
        <v>389</v>
      </c>
      <c r="D72" s="21" t="s">
        <v>168</v>
      </c>
      <c r="E72" s="283"/>
      <c r="F72" s="205"/>
      <c r="G72" s="12"/>
      <c r="H72" s="12"/>
      <c r="I72" s="247"/>
      <c r="J72" s="284"/>
      <c r="K72" s="12"/>
      <c r="L72" s="12"/>
      <c r="M72" s="1"/>
    </row>
    <row r="73" spans="2:13" ht="14.4" x14ac:dyDescent="0.25">
      <c r="B73" s="11"/>
      <c r="C73" s="286"/>
      <c r="D73" s="287" t="s">
        <v>383</v>
      </c>
      <c r="E73" s="288">
        <f>F73*H73*I73</f>
        <v>0</v>
      </c>
      <c r="F73" s="288"/>
      <c r="G73" s="289"/>
      <c r="H73" s="16"/>
      <c r="I73" s="84"/>
      <c r="J73" s="54">
        <f>E73</f>
        <v>0</v>
      </c>
      <c r="K73" s="278" t="s">
        <v>3</v>
      </c>
      <c r="L73" s="611">
        <f>J73</f>
        <v>0</v>
      </c>
      <c r="M73" s="1"/>
    </row>
    <row r="74" spans="2:13" ht="14.4" x14ac:dyDescent="0.25">
      <c r="B74" s="287"/>
      <c r="C74" s="286"/>
      <c r="D74" s="287" t="s">
        <v>383</v>
      </c>
      <c r="E74" s="288">
        <f>F74*H74*I74</f>
        <v>0</v>
      </c>
      <c r="F74" s="288"/>
      <c r="G74" s="289"/>
      <c r="H74" s="16"/>
      <c r="I74" s="84">
        <v>1</v>
      </c>
      <c r="J74" s="54">
        <f t="shared" ref="J74:J76" si="8">E74</f>
        <v>0</v>
      </c>
      <c r="K74" s="15" t="s">
        <v>3</v>
      </c>
      <c r="L74" s="611">
        <f t="shared" ref="L74:L76" si="9">J74</f>
        <v>0</v>
      </c>
      <c r="M74" s="1"/>
    </row>
    <row r="75" spans="2:13" ht="14.4" x14ac:dyDescent="0.25">
      <c r="B75" s="287"/>
      <c r="C75" s="290"/>
      <c r="D75" s="287" t="s">
        <v>383</v>
      </c>
      <c r="E75" s="288">
        <f>F75*H75*I75</f>
        <v>0</v>
      </c>
      <c r="F75" s="293"/>
      <c r="G75" s="314"/>
      <c r="H75" s="294"/>
      <c r="I75" s="84">
        <v>1</v>
      </c>
      <c r="J75" s="54">
        <f t="shared" si="8"/>
        <v>0</v>
      </c>
      <c r="K75" s="15" t="s">
        <v>3</v>
      </c>
      <c r="L75" s="611">
        <f t="shared" si="9"/>
        <v>0</v>
      </c>
      <c r="M75" s="1"/>
    </row>
    <row r="76" spans="2:13" ht="14.4" x14ac:dyDescent="0.25">
      <c r="B76" s="287"/>
      <c r="C76" s="290"/>
      <c r="D76" s="291" t="s">
        <v>384</v>
      </c>
      <c r="E76" s="292">
        <f>F76*G76*I76</f>
        <v>0</v>
      </c>
      <c r="F76" s="293"/>
      <c r="G76" s="294">
        <v>0.18</v>
      </c>
      <c r="H76" s="294"/>
      <c r="I76" s="84"/>
      <c r="J76" s="54">
        <f t="shared" si="8"/>
        <v>0</v>
      </c>
      <c r="K76" s="15" t="s">
        <v>3</v>
      </c>
      <c r="L76" s="611">
        <f t="shared" si="9"/>
        <v>0</v>
      </c>
      <c r="M76" s="1"/>
    </row>
    <row r="77" spans="2:13" ht="14.4" x14ac:dyDescent="0.25">
      <c r="B77" s="21" t="s">
        <v>385</v>
      </c>
      <c r="C77" s="295"/>
      <c r="D77" s="12"/>
      <c r="E77" s="10"/>
      <c r="F77" s="10"/>
      <c r="G77" s="10"/>
      <c r="H77" s="10"/>
      <c r="I77" s="247"/>
      <c r="J77" s="14"/>
      <c r="K77" s="14" t="s">
        <v>3</v>
      </c>
      <c r="L77" s="35">
        <f>SUM(L73:L76)</f>
        <v>0</v>
      </c>
      <c r="M77" s="1"/>
    </row>
    <row r="78" spans="2:13" ht="13.8" x14ac:dyDescent="0.25">
      <c r="B78" s="281"/>
      <c r="C78" s="868" t="s">
        <v>382</v>
      </c>
      <c r="D78" s="865" t="s">
        <v>23</v>
      </c>
      <c r="E78" s="862" t="s">
        <v>17</v>
      </c>
      <c r="F78" s="862" t="s">
        <v>18</v>
      </c>
      <c r="G78" s="862" t="s">
        <v>2</v>
      </c>
      <c r="H78" s="862" t="s">
        <v>4</v>
      </c>
      <c r="I78" s="862" t="s">
        <v>19</v>
      </c>
      <c r="J78" s="863" t="s">
        <v>394</v>
      </c>
      <c r="K78" s="865" t="s">
        <v>7</v>
      </c>
      <c r="L78" s="871" t="s">
        <v>8</v>
      </c>
      <c r="M78" s="1"/>
    </row>
    <row r="79" spans="2:13" ht="13.8" x14ac:dyDescent="0.25">
      <c r="B79" s="281"/>
      <c r="C79" s="869"/>
      <c r="D79" s="866"/>
      <c r="E79" s="862"/>
      <c r="F79" s="862"/>
      <c r="G79" s="862"/>
      <c r="H79" s="862"/>
      <c r="I79" s="862"/>
      <c r="J79" s="864"/>
      <c r="K79" s="866"/>
      <c r="L79" s="871"/>
      <c r="M79" s="1"/>
    </row>
    <row r="80" spans="2:13" ht="14.4" x14ac:dyDescent="0.25">
      <c r="B80" s="11"/>
      <c r="C80" s="282" t="s">
        <v>390</v>
      </c>
      <c r="D80" s="21" t="s">
        <v>168</v>
      </c>
      <c r="E80" s="283"/>
      <c r="F80" s="205"/>
      <c r="G80" s="12"/>
      <c r="H80" s="12"/>
      <c r="I80" s="247"/>
      <c r="J80" s="284"/>
      <c r="K80" s="12"/>
      <c r="L80" s="12"/>
      <c r="M80" s="1"/>
    </row>
    <row r="81" spans="2:13" ht="14.4" x14ac:dyDescent="0.25">
      <c r="B81" s="11"/>
      <c r="C81" s="286"/>
      <c r="D81" s="287" t="s">
        <v>383</v>
      </c>
      <c r="E81" s="288">
        <f>F81*H81*I81</f>
        <v>14.16</v>
      </c>
      <c r="F81" s="288">
        <v>3</v>
      </c>
      <c r="G81" s="289"/>
      <c r="H81" s="16">
        <v>2.36</v>
      </c>
      <c r="I81" s="84">
        <v>2</v>
      </c>
      <c r="J81" s="54">
        <f>E81</f>
        <v>14.16</v>
      </c>
      <c r="K81" s="278" t="s">
        <v>3</v>
      </c>
      <c r="L81" s="611">
        <f>J81</f>
        <v>14.16</v>
      </c>
      <c r="M81" s="1"/>
    </row>
    <row r="82" spans="2:13" ht="14.4" x14ac:dyDescent="0.25">
      <c r="B82" s="287"/>
      <c r="C82" s="286"/>
      <c r="D82" s="287" t="s">
        <v>383</v>
      </c>
      <c r="E82" s="288">
        <f>F82*H82*I82</f>
        <v>12.744</v>
      </c>
      <c r="F82" s="288">
        <v>4.72</v>
      </c>
      <c r="G82" s="289"/>
      <c r="H82" s="16">
        <v>2.7</v>
      </c>
      <c r="I82" s="84">
        <v>1</v>
      </c>
      <c r="J82" s="54">
        <f t="shared" ref="J82:J84" si="10">E82</f>
        <v>12.744</v>
      </c>
      <c r="K82" s="15" t="s">
        <v>3</v>
      </c>
      <c r="L82" s="611">
        <f t="shared" ref="L82:L84" si="11">J82</f>
        <v>12.744</v>
      </c>
      <c r="M82" s="1"/>
    </row>
    <row r="83" spans="2:13" ht="14.4" x14ac:dyDescent="0.25">
      <c r="B83" s="287"/>
      <c r="C83" s="290"/>
      <c r="D83" s="287" t="s">
        <v>383</v>
      </c>
      <c r="E83" s="288">
        <f>F83*H83*I83</f>
        <v>16.52</v>
      </c>
      <c r="F83" s="293">
        <v>4.72</v>
      </c>
      <c r="G83" s="314"/>
      <c r="H83" s="294">
        <v>3.5</v>
      </c>
      <c r="I83" s="84">
        <v>1</v>
      </c>
      <c r="J83" s="54">
        <f t="shared" si="10"/>
        <v>16.52</v>
      </c>
      <c r="K83" s="15" t="s">
        <v>3</v>
      </c>
      <c r="L83" s="611">
        <f t="shared" si="11"/>
        <v>16.52</v>
      </c>
      <c r="M83" s="1"/>
    </row>
    <row r="84" spans="2:13" ht="14.4" x14ac:dyDescent="0.25">
      <c r="B84" s="287"/>
      <c r="C84" s="290"/>
      <c r="D84" s="291" t="s">
        <v>384</v>
      </c>
      <c r="E84" s="292">
        <f>F84*G84*I84</f>
        <v>9.3455999999999992</v>
      </c>
      <c r="F84" s="293">
        <v>2.36</v>
      </c>
      <c r="G84" s="294">
        <v>0.18</v>
      </c>
      <c r="H84" s="294"/>
      <c r="I84" s="84">
        <v>22</v>
      </c>
      <c r="J84" s="54">
        <f t="shared" si="10"/>
        <v>9.3455999999999992</v>
      </c>
      <c r="K84" s="15" t="s">
        <v>3</v>
      </c>
      <c r="L84" s="611">
        <f t="shared" si="11"/>
        <v>9.3455999999999992</v>
      </c>
      <c r="M84" s="1"/>
    </row>
    <row r="85" spans="2:13" ht="14.4" x14ac:dyDescent="0.25">
      <c r="B85" s="21" t="s">
        <v>385</v>
      </c>
      <c r="C85" s="295"/>
      <c r="D85" s="12"/>
      <c r="E85" s="10"/>
      <c r="F85" s="10"/>
      <c r="G85" s="10"/>
      <c r="H85" s="10"/>
      <c r="I85" s="247"/>
      <c r="J85" s="14"/>
      <c r="K85" s="14" t="s">
        <v>3</v>
      </c>
      <c r="L85" s="35">
        <f>SUM(L81:L84)</f>
        <v>52.769599999999997</v>
      </c>
      <c r="M85" s="1"/>
    </row>
    <row r="86" spans="2:13" ht="13.8" x14ac:dyDescent="0.25">
      <c r="B86" s="281"/>
      <c r="C86" s="868" t="s">
        <v>382</v>
      </c>
      <c r="D86" s="865" t="s">
        <v>23</v>
      </c>
      <c r="E86" s="862" t="s">
        <v>17</v>
      </c>
      <c r="F86" s="862" t="s">
        <v>18</v>
      </c>
      <c r="G86" s="862" t="s">
        <v>2</v>
      </c>
      <c r="H86" s="862" t="s">
        <v>4</v>
      </c>
      <c r="I86" s="862" t="s">
        <v>19</v>
      </c>
      <c r="J86" s="863" t="s">
        <v>394</v>
      </c>
      <c r="K86" s="865" t="s">
        <v>7</v>
      </c>
      <c r="L86" s="871" t="s">
        <v>8</v>
      </c>
      <c r="M86" s="1"/>
    </row>
    <row r="87" spans="2:13" ht="13.8" x14ac:dyDescent="0.25">
      <c r="B87" s="281"/>
      <c r="C87" s="869"/>
      <c r="D87" s="866"/>
      <c r="E87" s="862"/>
      <c r="F87" s="862"/>
      <c r="G87" s="862"/>
      <c r="H87" s="862"/>
      <c r="I87" s="862"/>
      <c r="J87" s="864"/>
      <c r="K87" s="866"/>
      <c r="L87" s="871"/>
      <c r="M87" s="1"/>
    </row>
    <row r="88" spans="2:13" ht="14.4" x14ac:dyDescent="0.25">
      <c r="B88" s="11"/>
      <c r="C88" s="282" t="s">
        <v>730</v>
      </c>
      <c r="D88" s="21" t="s">
        <v>168</v>
      </c>
      <c r="E88" s="283"/>
      <c r="F88" s="205"/>
      <c r="G88" s="12"/>
      <c r="H88" s="12"/>
      <c r="I88" s="247"/>
      <c r="J88" s="284"/>
      <c r="K88" s="12"/>
      <c r="L88" s="12"/>
      <c r="M88" s="1"/>
    </row>
    <row r="89" spans="2:13" ht="14.4" x14ac:dyDescent="0.25">
      <c r="B89" s="11"/>
      <c r="C89" s="286"/>
      <c r="D89" s="287" t="s">
        <v>383</v>
      </c>
      <c r="E89" s="288">
        <f>F89*H89*I89</f>
        <v>14.16</v>
      </c>
      <c r="F89" s="288">
        <v>3</v>
      </c>
      <c r="G89" s="289"/>
      <c r="H89" s="16">
        <v>2.36</v>
      </c>
      <c r="I89" s="84">
        <v>2</v>
      </c>
      <c r="J89" s="54">
        <f>E89</f>
        <v>14.16</v>
      </c>
      <c r="K89" s="278" t="s">
        <v>3</v>
      </c>
      <c r="L89" s="611">
        <f>J89</f>
        <v>14.16</v>
      </c>
      <c r="M89" s="1"/>
    </row>
    <row r="90" spans="2:13" ht="14.4" x14ac:dyDescent="0.25">
      <c r="B90" s="287"/>
      <c r="C90" s="286"/>
      <c r="D90" s="287" t="s">
        <v>383</v>
      </c>
      <c r="E90" s="288">
        <f>F90*H90*I90</f>
        <v>12.744</v>
      </c>
      <c r="F90" s="288">
        <v>4.72</v>
      </c>
      <c r="G90" s="289"/>
      <c r="H90" s="16">
        <v>2.7</v>
      </c>
      <c r="I90" s="84">
        <v>1</v>
      </c>
      <c r="J90" s="54">
        <f t="shared" ref="J90:J92" si="12">E90</f>
        <v>12.744</v>
      </c>
      <c r="K90" s="15" t="s">
        <v>3</v>
      </c>
      <c r="L90" s="611">
        <f t="shared" ref="L90:L92" si="13">J90</f>
        <v>12.744</v>
      </c>
      <c r="M90" s="1"/>
    </row>
    <row r="91" spans="2:13" ht="14.4" x14ac:dyDescent="0.25">
      <c r="B91" s="287"/>
      <c r="C91" s="290"/>
      <c r="D91" s="287" t="s">
        <v>383</v>
      </c>
      <c r="E91" s="288">
        <f>F91*H91*I91</f>
        <v>16.52</v>
      </c>
      <c r="F91" s="293">
        <v>4.72</v>
      </c>
      <c r="G91" s="314"/>
      <c r="H91" s="294">
        <v>3.5</v>
      </c>
      <c r="I91" s="84">
        <v>1</v>
      </c>
      <c r="J91" s="54">
        <f t="shared" si="12"/>
        <v>16.52</v>
      </c>
      <c r="K91" s="15" t="s">
        <v>3</v>
      </c>
      <c r="L91" s="611">
        <f t="shared" si="13"/>
        <v>16.52</v>
      </c>
      <c r="M91" s="1"/>
    </row>
    <row r="92" spans="2:13" ht="14.4" x14ac:dyDescent="0.25">
      <c r="B92" s="287"/>
      <c r="C92" s="290"/>
      <c r="D92" s="291" t="s">
        <v>384</v>
      </c>
      <c r="E92" s="292">
        <f>F92*G92*I92</f>
        <v>9.3455999999999992</v>
      </c>
      <c r="F92" s="293">
        <v>2.36</v>
      </c>
      <c r="G92" s="294">
        <v>0.18</v>
      </c>
      <c r="H92" s="294"/>
      <c r="I92" s="84">
        <v>22</v>
      </c>
      <c r="J92" s="54">
        <f t="shared" si="12"/>
        <v>9.3455999999999992</v>
      </c>
      <c r="K92" s="15" t="s">
        <v>3</v>
      </c>
      <c r="L92" s="611">
        <f t="shared" si="13"/>
        <v>9.3455999999999992</v>
      </c>
      <c r="M92" s="1"/>
    </row>
    <row r="93" spans="2:13" ht="14.4" x14ac:dyDescent="0.25">
      <c r="B93" s="21" t="s">
        <v>385</v>
      </c>
      <c r="C93" s="295"/>
      <c r="D93" s="12"/>
      <c r="E93" s="10"/>
      <c r="F93" s="10"/>
      <c r="G93" s="10"/>
      <c r="H93" s="10"/>
      <c r="I93" s="247"/>
      <c r="J93" s="14"/>
      <c r="K93" s="14" t="s">
        <v>3</v>
      </c>
      <c r="L93" s="35">
        <f>SUM(L89:L92)</f>
        <v>52.769599999999997</v>
      </c>
      <c r="M93" s="1"/>
    </row>
    <row r="94" spans="2:13" ht="13.8" x14ac:dyDescent="0.25">
      <c r="B94" s="281"/>
      <c r="C94" s="868" t="s">
        <v>382</v>
      </c>
      <c r="D94" s="865" t="s">
        <v>23</v>
      </c>
      <c r="E94" s="862" t="s">
        <v>17</v>
      </c>
      <c r="F94" s="862" t="s">
        <v>18</v>
      </c>
      <c r="G94" s="862" t="s">
        <v>2</v>
      </c>
      <c r="H94" s="862" t="s">
        <v>4</v>
      </c>
      <c r="I94" s="862" t="s">
        <v>19</v>
      </c>
      <c r="J94" s="863" t="s">
        <v>394</v>
      </c>
      <c r="K94" s="865" t="s">
        <v>7</v>
      </c>
      <c r="L94" s="871" t="s">
        <v>8</v>
      </c>
      <c r="M94" s="1"/>
    </row>
    <row r="95" spans="2:13" ht="13.8" x14ac:dyDescent="0.25">
      <c r="B95" s="281"/>
      <c r="C95" s="869"/>
      <c r="D95" s="866"/>
      <c r="E95" s="862"/>
      <c r="F95" s="862"/>
      <c r="G95" s="862"/>
      <c r="H95" s="862"/>
      <c r="I95" s="862"/>
      <c r="J95" s="864"/>
      <c r="K95" s="866"/>
      <c r="L95" s="871"/>
      <c r="M95" s="1"/>
    </row>
    <row r="96" spans="2:13" ht="14.4" x14ac:dyDescent="0.25">
      <c r="B96" s="11"/>
      <c r="C96" s="282" t="s">
        <v>731</v>
      </c>
      <c r="D96" s="21" t="s">
        <v>168</v>
      </c>
      <c r="E96" s="283"/>
      <c r="F96" s="205"/>
      <c r="G96" s="12"/>
      <c r="H96" s="12"/>
      <c r="I96" s="247"/>
      <c r="J96" s="284"/>
      <c r="K96" s="12"/>
      <c r="L96" s="12"/>
      <c r="M96" s="1"/>
    </row>
    <row r="97" spans="2:13" ht="14.4" x14ac:dyDescent="0.25">
      <c r="B97" s="11"/>
      <c r="C97" s="286"/>
      <c r="D97" s="287" t="s">
        <v>383</v>
      </c>
      <c r="E97" s="288">
        <f>F97*H97*I97</f>
        <v>0</v>
      </c>
      <c r="F97" s="288"/>
      <c r="G97" s="289"/>
      <c r="H97" s="16"/>
      <c r="I97" s="84"/>
      <c r="J97" s="54">
        <f>E97</f>
        <v>0</v>
      </c>
      <c r="K97" s="278" t="s">
        <v>3</v>
      </c>
      <c r="L97" s="611">
        <f>J97</f>
        <v>0</v>
      </c>
      <c r="M97" s="1"/>
    </row>
    <row r="98" spans="2:13" ht="14.4" x14ac:dyDescent="0.25">
      <c r="B98" s="287"/>
      <c r="C98" s="286"/>
      <c r="D98" s="287" t="s">
        <v>383</v>
      </c>
      <c r="E98" s="288">
        <f>F98*H98*I98</f>
        <v>0</v>
      </c>
      <c r="F98" s="288"/>
      <c r="G98" s="289"/>
      <c r="H98" s="16"/>
      <c r="I98" s="84">
        <v>1</v>
      </c>
      <c r="J98" s="54">
        <f t="shared" ref="J98:J100" si="14">E98</f>
        <v>0</v>
      </c>
      <c r="K98" s="15" t="s">
        <v>3</v>
      </c>
      <c r="L98" s="611">
        <f t="shared" ref="L98:L100" si="15">J98</f>
        <v>0</v>
      </c>
      <c r="M98" s="1"/>
    </row>
    <row r="99" spans="2:13" ht="14.4" x14ac:dyDescent="0.25">
      <c r="B99" s="287"/>
      <c r="C99" s="290"/>
      <c r="D99" s="287" t="s">
        <v>383</v>
      </c>
      <c r="E99" s="288">
        <f>F99*H99*I99</f>
        <v>0</v>
      </c>
      <c r="F99" s="293"/>
      <c r="G99" s="314"/>
      <c r="H99" s="294"/>
      <c r="I99" s="84">
        <v>1</v>
      </c>
      <c r="J99" s="54">
        <f t="shared" si="14"/>
        <v>0</v>
      </c>
      <c r="K99" s="15" t="s">
        <v>3</v>
      </c>
      <c r="L99" s="611">
        <f t="shared" si="15"/>
        <v>0</v>
      </c>
      <c r="M99" s="1"/>
    </row>
    <row r="100" spans="2:13" ht="14.4" x14ac:dyDescent="0.25">
      <c r="B100" s="287"/>
      <c r="C100" s="290"/>
      <c r="D100" s="291" t="s">
        <v>384</v>
      </c>
      <c r="E100" s="292">
        <f>F100*G100*I100</f>
        <v>0</v>
      </c>
      <c r="F100" s="293"/>
      <c r="G100" s="294">
        <v>0.18</v>
      </c>
      <c r="H100" s="294"/>
      <c r="I100" s="84"/>
      <c r="J100" s="54">
        <f t="shared" si="14"/>
        <v>0</v>
      </c>
      <c r="K100" s="15" t="s">
        <v>3</v>
      </c>
      <c r="L100" s="611">
        <f t="shared" si="15"/>
        <v>0</v>
      </c>
      <c r="M100" s="1"/>
    </row>
    <row r="101" spans="2:13" ht="14.4" x14ac:dyDescent="0.25">
      <c r="B101" s="21" t="s">
        <v>385</v>
      </c>
      <c r="C101" s="295"/>
      <c r="D101" s="12"/>
      <c r="E101" s="10"/>
      <c r="F101" s="10"/>
      <c r="G101" s="10"/>
      <c r="H101" s="10"/>
      <c r="I101" s="247"/>
      <c r="J101" s="14"/>
      <c r="K101" s="14" t="s">
        <v>3</v>
      </c>
      <c r="L101" s="35">
        <f>SUM(L97:L100)</f>
        <v>0</v>
      </c>
      <c r="M101" s="1"/>
    </row>
    <row r="102" spans="2:13" ht="13.8" x14ac:dyDescent="0.25">
      <c r="B102" s="281"/>
      <c r="C102" s="868" t="s">
        <v>382</v>
      </c>
      <c r="D102" s="865" t="s">
        <v>23</v>
      </c>
      <c r="E102" s="862" t="s">
        <v>17</v>
      </c>
      <c r="F102" s="862" t="s">
        <v>18</v>
      </c>
      <c r="G102" s="862" t="s">
        <v>2</v>
      </c>
      <c r="H102" s="862" t="s">
        <v>4</v>
      </c>
      <c r="I102" s="862" t="s">
        <v>19</v>
      </c>
      <c r="J102" s="863" t="s">
        <v>394</v>
      </c>
      <c r="K102" s="865" t="s">
        <v>7</v>
      </c>
      <c r="L102" s="871" t="s">
        <v>8</v>
      </c>
      <c r="M102" s="1"/>
    </row>
    <row r="103" spans="2:13" ht="13.8" x14ac:dyDescent="0.25">
      <c r="B103" s="281"/>
      <c r="C103" s="869"/>
      <c r="D103" s="866"/>
      <c r="E103" s="862"/>
      <c r="F103" s="862"/>
      <c r="G103" s="862"/>
      <c r="H103" s="862"/>
      <c r="I103" s="862"/>
      <c r="J103" s="864"/>
      <c r="K103" s="866"/>
      <c r="L103" s="871"/>
      <c r="M103" s="1"/>
    </row>
    <row r="104" spans="2:13" ht="14.4" x14ac:dyDescent="0.25">
      <c r="B104" s="11"/>
      <c r="C104" s="282" t="s">
        <v>732</v>
      </c>
      <c r="D104" s="21" t="s">
        <v>168</v>
      </c>
      <c r="E104" s="283"/>
      <c r="F104" s="205"/>
      <c r="G104" s="12"/>
      <c r="H104" s="12"/>
      <c r="I104" s="247"/>
      <c r="J104" s="284"/>
      <c r="K104" s="12"/>
      <c r="L104" s="12"/>
      <c r="M104" s="1"/>
    </row>
    <row r="105" spans="2:13" ht="14.4" x14ac:dyDescent="0.25">
      <c r="B105" s="11"/>
      <c r="C105" s="286"/>
      <c r="D105" s="287" t="s">
        <v>383</v>
      </c>
      <c r="E105" s="288">
        <f>F105*H105*I105</f>
        <v>14.16</v>
      </c>
      <c r="F105" s="288">
        <v>3</v>
      </c>
      <c r="G105" s="289"/>
      <c r="H105" s="16">
        <v>2.36</v>
      </c>
      <c r="I105" s="84">
        <v>2</v>
      </c>
      <c r="J105" s="54">
        <f>E105</f>
        <v>14.16</v>
      </c>
      <c r="K105" s="278" t="s">
        <v>3</v>
      </c>
      <c r="L105" s="611">
        <f>J105</f>
        <v>14.16</v>
      </c>
      <c r="M105" s="1"/>
    </row>
    <row r="106" spans="2:13" ht="14.4" x14ac:dyDescent="0.25">
      <c r="B106" s="287"/>
      <c r="C106" s="286"/>
      <c r="D106" s="287" t="s">
        <v>383</v>
      </c>
      <c r="E106" s="288">
        <f>F106*H106*I106</f>
        <v>12.744</v>
      </c>
      <c r="F106" s="288">
        <v>4.72</v>
      </c>
      <c r="G106" s="289"/>
      <c r="H106" s="16">
        <v>2.7</v>
      </c>
      <c r="I106" s="84">
        <v>1</v>
      </c>
      <c r="J106" s="54">
        <f t="shared" ref="J106:J108" si="16">E106</f>
        <v>12.744</v>
      </c>
      <c r="K106" s="15" t="s">
        <v>3</v>
      </c>
      <c r="L106" s="611">
        <f t="shared" ref="L106:L108" si="17">J106</f>
        <v>12.744</v>
      </c>
      <c r="M106" s="1"/>
    </row>
    <row r="107" spans="2:13" ht="14.4" x14ac:dyDescent="0.25">
      <c r="B107" s="287"/>
      <c r="C107" s="290"/>
      <c r="D107" s="287" t="s">
        <v>383</v>
      </c>
      <c r="E107" s="288">
        <f>F107*H107*I107</f>
        <v>16.52</v>
      </c>
      <c r="F107" s="293">
        <v>4.72</v>
      </c>
      <c r="G107" s="314"/>
      <c r="H107" s="294">
        <v>3.5</v>
      </c>
      <c r="I107" s="84">
        <v>1</v>
      </c>
      <c r="J107" s="54">
        <f t="shared" si="16"/>
        <v>16.52</v>
      </c>
      <c r="K107" s="15" t="s">
        <v>3</v>
      </c>
      <c r="L107" s="611">
        <f t="shared" si="17"/>
        <v>16.52</v>
      </c>
      <c r="M107" s="1"/>
    </row>
    <row r="108" spans="2:13" ht="14.4" x14ac:dyDescent="0.25">
      <c r="B108" s="287"/>
      <c r="C108" s="290"/>
      <c r="D108" s="291" t="s">
        <v>384</v>
      </c>
      <c r="E108" s="292">
        <f>F108*G108*I108</f>
        <v>9.3455999999999992</v>
      </c>
      <c r="F108" s="293">
        <v>2.36</v>
      </c>
      <c r="G108" s="294">
        <v>0.18</v>
      </c>
      <c r="H108" s="294"/>
      <c r="I108" s="84">
        <v>22</v>
      </c>
      <c r="J108" s="54">
        <f t="shared" si="16"/>
        <v>9.3455999999999992</v>
      </c>
      <c r="K108" s="15" t="s">
        <v>3</v>
      </c>
      <c r="L108" s="611">
        <f t="shared" si="17"/>
        <v>9.3455999999999992</v>
      </c>
      <c r="M108" s="1"/>
    </row>
    <row r="109" spans="2:13" ht="14.4" x14ac:dyDescent="0.25">
      <c r="B109" s="21" t="s">
        <v>385</v>
      </c>
      <c r="C109" s="295"/>
      <c r="D109" s="12"/>
      <c r="E109" s="10"/>
      <c r="F109" s="10"/>
      <c r="G109" s="10"/>
      <c r="H109" s="10"/>
      <c r="I109" s="247"/>
      <c r="J109" s="14"/>
      <c r="K109" s="14" t="s">
        <v>3</v>
      </c>
      <c r="L109" s="35">
        <f>SUM(L105:L108)</f>
        <v>52.769599999999997</v>
      </c>
      <c r="M109" s="1"/>
    </row>
    <row r="110" spans="2:13" ht="13.8" x14ac:dyDescent="0.25">
      <c r="B110" s="281"/>
      <c r="C110" s="868" t="s">
        <v>382</v>
      </c>
      <c r="D110" s="865" t="s">
        <v>23</v>
      </c>
      <c r="E110" s="862" t="s">
        <v>17</v>
      </c>
      <c r="F110" s="862" t="s">
        <v>18</v>
      </c>
      <c r="G110" s="862" t="s">
        <v>2</v>
      </c>
      <c r="H110" s="862" t="s">
        <v>4</v>
      </c>
      <c r="I110" s="862" t="s">
        <v>19</v>
      </c>
      <c r="J110" s="863" t="s">
        <v>394</v>
      </c>
      <c r="K110" s="865" t="s">
        <v>7</v>
      </c>
      <c r="L110" s="871" t="s">
        <v>8</v>
      </c>
      <c r="M110" s="1"/>
    </row>
    <row r="111" spans="2:13" ht="13.8" x14ac:dyDescent="0.25">
      <c r="B111" s="281"/>
      <c r="C111" s="869"/>
      <c r="D111" s="866"/>
      <c r="E111" s="862"/>
      <c r="F111" s="862"/>
      <c r="G111" s="862"/>
      <c r="H111" s="862"/>
      <c r="I111" s="862"/>
      <c r="J111" s="864"/>
      <c r="K111" s="866"/>
      <c r="L111" s="871"/>
      <c r="M111" s="1"/>
    </row>
    <row r="112" spans="2:13" ht="14.4" x14ac:dyDescent="0.25">
      <c r="B112" s="11"/>
      <c r="C112" s="282" t="s">
        <v>733</v>
      </c>
      <c r="D112" s="21" t="s">
        <v>168</v>
      </c>
      <c r="E112" s="283"/>
      <c r="F112" s="205"/>
      <c r="G112" s="12"/>
      <c r="H112" s="12"/>
      <c r="I112" s="247"/>
      <c r="J112" s="284"/>
      <c r="K112" s="12"/>
      <c r="L112" s="12"/>
      <c r="M112" s="1"/>
    </row>
    <row r="113" spans="2:13" ht="14.4" x14ac:dyDescent="0.25">
      <c r="B113" s="11"/>
      <c r="C113" s="286"/>
      <c r="D113" s="287" t="s">
        <v>383</v>
      </c>
      <c r="E113" s="288">
        <f>F113*H113*I113</f>
        <v>14.16</v>
      </c>
      <c r="F113" s="288">
        <v>3</v>
      </c>
      <c r="G113" s="289"/>
      <c r="H113" s="16">
        <v>2.36</v>
      </c>
      <c r="I113" s="84">
        <v>2</v>
      </c>
      <c r="J113" s="54">
        <f>E113</f>
        <v>14.16</v>
      </c>
      <c r="K113" s="278" t="s">
        <v>3</v>
      </c>
      <c r="L113" s="611">
        <f>J113</f>
        <v>14.16</v>
      </c>
      <c r="M113" s="1"/>
    </row>
    <row r="114" spans="2:13" ht="14.4" x14ac:dyDescent="0.25">
      <c r="B114" s="287"/>
      <c r="C114" s="286"/>
      <c r="D114" s="287" t="s">
        <v>383</v>
      </c>
      <c r="E114" s="288">
        <f>F114*H114*I114</f>
        <v>12.744</v>
      </c>
      <c r="F114" s="288">
        <v>4.72</v>
      </c>
      <c r="G114" s="289"/>
      <c r="H114" s="16">
        <v>2.7</v>
      </c>
      <c r="I114" s="84">
        <v>1</v>
      </c>
      <c r="J114" s="54">
        <f t="shared" ref="J114:J116" si="18">E114</f>
        <v>12.744</v>
      </c>
      <c r="K114" s="15" t="s">
        <v>3</v>
      </c>
      <c r="L114" s="611">
        <f t="shared" ref="L114:L116" si="19">J114</f>
        <v>12.744</v>
      </c>
      <c r="M114" s="1"/>
    </row>
    <row r="115" spans="2:13" ht="14.4" x14ac:dyDescent="0.25">
      <c r="B115" s="287"/>
      <c r="C115" s="290"/>
      <c r="D115" s="287" t="s">
        <v>383</v>
      </c>
      <c r="E115" s="288">
        <f>F115*H115*I115</f>
        <v>16.52</v>
      </c>
      <c r="F115" s="293">
        <v>4.72</v>
      </c>
      <c r="G115" s="314"/>
      <c r="H115" s="294">
        <v>3.5</v>
      </c>
      <c r="I115" s="84">
        <v>1</v>
      </c>
      <c r="J115" s="54">
        <f t="shared" si="18"/>
        <v>16.52</v>
      </c>
      <c r="K115" s="15" t="s">
        <v>3</v>
      </c>
      <c r="L115" s="611">
        <f t="shared" si="19"/>
        <v>16.52</v>
      </c>
      <c r="M115" s="1"/>
    </row>
    <row r="116" spans="2:13" ht="14.4" x14ac:dyDescent="0.25">
      <c r="B116" s="287"/>
      <c r="C116" s="290"/>
      <c r="D116" s="291" t="s">
        <v>384</v>
      </c>
      <c r="E116" s="292">
        <f>F116*G116*I116</f>
        <v>9.3455999999999992</v>
      </c>
      <c r="F116" s="293">
        <v>2.36</v>
      </c>
      <c r="G116" s="294">
        <v>0.18</v>
      </c>
      <c r="H116" s="294"/>
      <c r="I116" s="84">
        <v>22</v>
      </c>
      <c r="J116" s="54">
        <f t="shared" si="18"/>
        <v>9.3455999999999992</v>
      </c>
      <c r="K116" s="15" t="s">
        <v>3</v>
      </c>
      <c r="L116" s="611">
        <f t="shared" si="19"/>
        <v>9.3455999999999992</v>
      </c>
      <c r="M116" s="1"/>
    </row>
    <row r="117" spans="2:13" ht="14.4" x14ac:dyDescent="0.25">
      <c r="B117" s="21" t="s">
        <v>385</v>
      </c>
      <c r="C117" s="295"/>
      <c r="D117" s="12"/>
      <c r="E117" s="10"/>
      <c r="F117" s="10"/>
      <c r="G117" s="10"/>
      <c r="H117" s="10"/>
      <c r="I117" s="247"/>
      <c r="J117" s="14"/>
      <c r="K117" s="14" t="s">
        <v>3</v>
      </c>
      <c r="L117" s="35">
        <f>SUM(L113:L116)</f>
        <v>52.769599999999997</v>
      </c>
      <c r="M117" s="1"/>
    </row>
    <row r="118" spans="2:13" ht="13.8" x14ac:dyDescent="0.25">
      <c r="B118" s="281"/>
      <c r="C118" s="868" t="s">
        <v>382</v>
      </c>
      <c r="D118" s="865" t="s">
        <v>23</v>
      </c>
      <c r="E118" s="862" t="s">
        <v>17</v>
      </c>
      <c r="F118" s="862" t="s">
        <v>18</v>
      </c>
      <c r="G118" s="862" t="s">
        <v>2</v>
      </c>
      <c r="H118" s="862" t="s">
        <v>4</v>
      </c>
      <c r="I118" s="862" t="s">
        <v>19</v>
      </c>
      <c r="J118" s="863" t="s">
        <v>394</v>
      </c>
      <c r="K118" s="865" t="s">
        <v>7</v>
      </c>
      <c r="L118" s="870" t="s">
        <v>8</v>
      </c>
    </row>
    <row r="119" spans="2:13" ht="13.8" x14ac:dyDescent="0.25">
      <c r="B119" s="281"/>
      <c r="C119" s="869"/>
      <c r="D119" s="866"/>
      <c r="E119" s="862"/>
      <c r="F119" s="862"/>
      <c r="G119" s="862"/>
      <c r="H119" s="862"/>
      <c r="I119" s="862"/>
      <c r="J119" s="864"/>
      <c r="K119" s="866"/>
      <c r="L119" s="870"/>
    </row>
    <row r="120" spans="2:13" ht="14.4" x14ac:dyDescent="0.25">
      <c r="B120" s="11"/>
      <c r="C120" s="282" t="s">
        <v>734</v>
      </c>
      <c r="D120" s="21" t="s">
        <v>168</v>
      </c>
      <c r="E120" s="283"/>
      <c r="F120" s="205"/>
      <c r="G120" s="12"/>
      <c r="H120" s="12"/>
      <c r="I120" s="247"/>
      <c r="J120" s="284"/>
      <c r="K120" s="12"/>
      <c r="L120" s="285"/>
    </row>
    <row r="121" spans="2:13" ht="14.4" x14ac:dyDescent="0.25">
      <c r="B121" s="11"/>
      <c r="C121" s="286"/>
      <c r="D121" s="287" t="s">
        <v>383</v>
      </c>
      <c r="E121" s="288">
        <f>F121*H121*I121</f>
        <v>14.16</v>
      </c>
      <c r="F121" s="288">
        <v>3</v>
      </c>
      <c r="G121" s="289"/>
      <c r="H121" s="16">
        <v>2.36</v>
      </c>
      <c r="I121" s="84">
        <v>2</v>
      </c>
      <c r="J121" s="54">
        <f>E121</f>
        <v>14.16</v>
      </c>
      <c r="K121" s="278" t="s">
        <v>3</v>
      </c>
      <c r="L121" s="16">
        <f>J121</f>
        <v>14.16</v>
      </c>
    </row>
    <row r="122" spans="2:13" ht="14.4" x14ac:dyDescent="0.25">
      <c r="B122" s="287"/>
      <c r="C122" s="286"/>
      <c r="D122" s="287" t="s">
        <v>383</v>
      </c>
      <c r="E122" s="288">
        <f>F122*H122*I122</f>
        <v>12.744</v>
      </c>
      <c r="F122" s="288">
        <v>4.72</v>
      </c>
      <c r="G122" s="289"/>
      <c r="H122" s="16">
        <v>2.7</v>
      </c>
      <c r="I122" s="84">
        <v>1</v>
      </c>
      <c r="J122" s="54">
        <f t="shared" ref="J122:J124" si="20">E122</f>
        <v>12.744</v>
      </c>
      <c r="K122" s="15" t="s">
        <v>3</v>
      </c>
      <c r="L122" s="16">
        <f t="shared" ref="L122:L124" si="21">J122</f>
        <v>12.744</v>
      </c>
    </row>
    <row r="123" spans="2:13" ht="14.4" x14ac:dyDescent="0.25">
      <c r="B123" s="287"/>
      <c r="C123" s="290"/>
      <c r="D123" s="287" t="s">
        <v>383</v>
      </c>
      <c r="E123" s="288">
        <f>F123*H123*I123</f>
        <v>16.52</v>
      </c>
      <c r="F123" s="293">
        <v>4.72</v>
      </c>
      <c r="G123" s="314"/>
      <c r="H123" s="294">
        <v>3.5</v>
      </c>
      <c r="I123" s="84">
        <v>1</v>
      </c>
      <c r="J123" s="54">
        <f t="shared" si="20"/>
        <v>16.52</v>
      </c>
      <c r="K123" s="15" t="s">
        <v>3</v>
      </c>
      <c r="L123" s="16">
        <f t="shared" si="21"/>
        <v>16.52</v>
      </c>
    </row>
    <row r="124" spans="2:13" ht="14.4" x14ac:dyDescent="0.25">
      <c r="B124" s="287"/>
      <c r="C124" s="290"/>
      <c r="D124" s="291" t="s">
        <v>384</v>
      </c>
      <c r="E124" s="292">
        <f>F124*G124*I124</f>
        <v>9.3455999999999992</v>
      </c>
      <c r="F124" s="293">
        <v>2.36</v>
      </c>
      <c r="G124" s="294">
        <v>0.18</v>
      </c>
      <c r="H124" s="294"/>
      <c r="I124" s="84">
        <v>22</v>
      </c>
      <c r="J124" s="54">
        <f t="shared" si="20"/>
        <v>9.3455999999999992</v>
      </c>
      <c r="K124" s="15" t="s">
        <v>3</v>
      </c>
      <c r="L124" s="16">
        <f t="shared" si="21"/>
        <v>9.3455999999999992</v>
      </c>
    </row>
    <row r="125" spans="2:13" ht="14.4" x14ac:dyDescent="0.25">
      <c r="B125" s="21" t="s">
        <v>385</v>
      </c>
      <c r="C125" s="295"/>
      <c r="D125" s="12"/>
      <c r="E125" s="10"/>
      <c r="F125" s="10"/>
      <c r="G125" s="10"/>
      <c r="H125" s="10"/>
      <c r="I125" s="247"/>
      <c r="J125" s="14"/>
      <c r="K125" s="14" t="s">
        <v>3</v>
      </c>
      <c r="L125" s="35">
        <f>SUM(L121:L124)</f>
        <v>52.769599999999997</v>
      </c>
      <c r="M125" s="1"/>
    </row>
    <row r="126" spans="2:13" ht="14.4" x14ac:dyDescent="0.25">
      <c r="B126" s="21"/>
      <c r="C126" s="297"/>
      <c r="D126" s="205"/>
      <c r="E126" s="10"/>
      <c r="F126" s="10"/>
      <c r="G126" s="10"/>
      <c r="H126" s="10"/>
      <c r="I126" s="247"/>
      <c r="J126" s="207"/>
      <c r="K126" s="207"/>
      <c r="L126" s="35"/>
      <c r="M126" s="1"/>
    </row>
    <row r="127" spans="2:13" ht="14.4" x14ac:dyDescent="0.25">
      <c r="B127" s="21" t="s">
        <v>391</v>
      </c>
      <c r="C127" s="297"/>
      <c r="D127" s="205"/>
      <c r="E127" s="10"/>
      <c r="F127" s="10"/>
      <c r="G127" s="10"/>
      <c r="H127" s="10"/>
      <c r="I127" s="247"/>
      <c r="J127" s="207"/>
      <c r="K127" s="207" t="s">
        <v>3</v>
      </c>
      <c r="L127" s="35">
        <f>SUM(L69,L77,L85,L93,L101,L109,L117,L125)</f>
        <v>263.84799999999996</v>
      </c>
      <c r="M127" s="1"/>
    </row>
    <row r="128" spans="2:13" ht="14.4" x14ac:dyDescent="0.25">
      <c r="B128" s="21"/>
      <c r="C128" s="297"/>
      <c r="D128" s="205"/>
      <c r="E128" s="10"/>
      <c r="F128" s="10"/>
      <c r="G128" s="10"/>
      <c r="H128" s="10"/>
      <c r="I128" s="247"/>
      <c r="J128" s="207"/>
      <c r="K128" s="207"/>
      <c r="L128" s="35"/>
      <c r="M128" s="1"/>
    </row>
    <row r="129" spans="2:13" ht="15.6" x14ac:dyDescent="0.25">
      <c r="B129" s="296" t="s">
        <v>729</v>
      </c>
      <c r="C129" s="297"/>
      <c r="D129" s="205"/>
      <c r="E129" s="10"/>
      <c r="F129" s="10"/>
      <c r="G129" s="10"/>
      <c r="H129" s="10"/>
      <c r="I129" s="247"/>
      <c r="J129" s="207"/>
      <c r="K129" s="207"/>
      <c r="L129" s="35"/>
      <c r="M129" s="1"/>
    </row>
    <row r="130" spans="2:13" ht="13.8" x14ac:dyDescent="0.25">
      <c r="B130" s="298"/>
      <c r="C130" s="873" t="s">
        <v>382</v>
      </c>
      <c r="D130" s="865" t="s">
        <v>23</v>
      </c>
      <c r="E130" s="862" t="s">
        <v>17</v>
      </c>
      <c r="F130" s="862" t="s">
        <v>18</v>
      </c>
      <c r="G130" s="862" t="s">
        <v>2</v>
      </c>
      <c r="H130" s="862" t="s">
        <v>4</v>
      </c>
      <c r="I130" s="862" t="s">
        <v>19</v>
      </c>
      <c r="J130" s="863" t="s">
        <v>394</v>
      </c>
      <c r="K130" s="865" t="s">
        <v>7</v>
      </c>
      <c r="L130" s="867" t="s">
        <v>8</v>
      </c>
      <c r="M130" s="1"/>
    </row>
    <row r="131" spans="2:13" ht="13.8" x14ac:dyDescent="0.25">
      <c r="B131" s="281"/>
      <c r="C131" s="874"/>
      <c r="D131" s="866"/>
      <c r="E131" s="862"/>
      <c r="F131" s="862"/>
      <c r="G131" s="862"/>
      <c r="H131" s="862"/>
      <c r="I131" s="862"/>
      <c r="J131" s="864"/>
      <c r="K131" s="866"/>
      <c r="L131" s="867"/>
      <c r="M131" s="1"/>
    </row>
    <row r="132" spans="2:13" ht="14.4" x14ac:dyDescent="0.25">
      <c r="B132" s="281"/>
      <c r="C132" s="282" t="s">
        <v>388</v>
      </c>
      <c r="D132" s="21" t="s">
        <v>168</v>
      </c>
      <c r="E132" s="299"/>
      <c r="F132" s="299"/>
      <c r="G132" s="299"/>
      <c r="H132" s="299"/>
      <c r="I132" s="299"/>
      <c r="J132" s="300"/>
      <c r="K132" s="301"/>
      <c r="L132" s="302"/>
      <c r="M132" s="1"/>
    </row>
    <row r="133" spans="2:13" ht="14.4" x14ac:dyDescent="0.25">
      <c r="B133" s="281"/>
      <c r="C133" s="301"/>
      <c r="D133" s="11" t="s">
        <v>383</v>
      </c>
      <c r="E133" s="303"/>
      <c r="F133" s="303"/>
      <c r="G133" s="303"/>
      <c r="H133" s="303"/>
      <c r="I133" s="304">
        <v>1</v>
      </c>
      <c r="J133" s="305"/>
      <c r="K133" s="306" t="s">
        <v>197</v>
      </c>
      <c r="L133" s="609">
        <f>F133*I133</f>
        <v>0</v>
      </c>
      <c r="M133" s="1"/>
    </row>
    <row r="134" spans="2:13" ht="14.4" x14ac:dyDescent="0.25">
      <c r="B134" s="281"/>
      <c r="C134" s="301"/>
      <c r="D134" s="308" t="s">
        <v>384</v>
      </c>
      <c r="E134" s="303"/>
      <c r="F134" s="303"/>
      <c r="G134" s="303">
        <v>0.18</v>
      </c>
      <c r="H134" s="303"/>
      <c r="I134" s="304"/>
      <c r="J134" s="305"/>
      <c r="K134" s="306" t="s">
        <v>197</v>
      </c>
      <c r="L134" s="610">
        <f>G134*I134</f>
        <v>0</v>
      </c>
      <c r="M134" s="1"/>
    </row>
    <row r="135" spans="2:13" ht="14.4" x14ac:dyDescent="0.25">
      <c r="B135" s="310"/>
      <c r="C135" s="14" t="s">
        <v>387</v>
      </c>
      <c r="D135" s="12"/>
      <c r="E135" s="311"/>
      <c r="F135" s="312"/>
      <c r="G135" s="19"/>
      <c r="H135" s="10"/>
      <c r="I135" s="247"/>
      <c r="J135" s="313"/>
      <c r="K135" s="14" t="s">
        <v>197</v>
      </c>
      <c r="L135" s="35">
        <f>SUM(L133:L134)</f>
        <v>0</v>
      </c>
      <c r="M135" s="1"/>
    </row>
    <row r="136" spans="2:13" ht="13.8" x14ac:dyDescent="0.25">
      <c r="B136" s="298"/>
      <c r="C136" s="873" t="s">
        <v>382</v>
      </c>
      <c r="D136" s="865" t="s">
        <v>23</v>
      </c>
      <c r="E136" s="862" t="s">
        <v>17</v>
      </c>
      <c r="F136" s="862" t="s">
        <v>18</v>
      </c>
      <c r="G136" s="862" t="s">
        <v>2</v>
      </c>
      <c r="H136" s="862" t="s">
        <v>4</v>
      </c>
      <c r="I136" s="862" t="s">
        <v>19</v>
      </c>
      <c r="J136" s="863" t="s">
        <v>394</v>
      </c>
      <c r="K136" s="865" t="s">
        <v>7</v>
      </c>
      <c r="L136" s="867" t="s">
        <v>8</v>
      </c>
      <c r="M136" s="1"/>
    </row>
    <row r="137" spans="2:13" ht="13.8" x14ac:dyDescent="0.25">
      <c r="B137" s="281"/>
      <c r="C137" s="874"/>
      <c r="D137" s="866"/>
      <c r="E137" s="862"/>
      <c r="F137" s="862"/>
      <c r="G137" s="862"/>
      <c r="H137" s="862"/>
      <c r="I137" s="862"/>
      <c r="J137" s="864"/>
      <c r="K137" s="866"/>
      <c r="L137" s="867"/>
      <c r="M137" s="1"/>
    </row>
    <row r="138" spans="2:13" ht="14.4" x14ac:dyDescent="0.25">
      <c r="B138" s="281"/>
      <c r="C138" s="282" t="s">
        <v>389</v>
      </c>
      <c r="D138" s="21" t="s">
        <v>168</v>
      </c>
      <c r="E138" s="299"/>
      <c r="F138" s="299"/>
      <c r="G138" s="299"/>
      <c r="H138" s="299"/>
      <c r="I138" s="299"/>
      <c r="J138" s="300"/>
      <c r="K138" s="301"/>
      <c r="L138" s="302"/>
      <c r="M138" s="1"/>
    </row>
    <row r="139" spans="2:13" ht="14.4" x14ac:dyDescent="0.25">
      <c r="B139" s="281"/>
      <c r="C139" s="301"/>
      <c r="D139" s="11" t="s">
        <v>383</v>
      </c>
      <c r="E139" s="303"/>
      <c r="F139" s="303"/>
      <c r="G139" s="303"/>
      <c r="H139" s="303"/>
      <c r="I139" s="304">
        <v>1</v>
      </c>
      <c r="J139" s="305"/>
      <c r="K139" s="306" t="s">
        <v>197</v>
      </c>
      <c r="L139" s="307">
        <f>F139*I139</f>
        <v>0</v>
      </c>
    </row>
    <row r="140" spans="2:13" ht="14.4" x14ac:dyDescent="0.25">
      <c r="B140" s="281"/>
      <c r="C140" s="301"/>
      <c r="D140" s="308" t="s">
        <v>384</v>
      </c>
      <c r="E140" s="303"/>
      <c r="F140" s="303"/>
      <c r="G140" s="303">
        <v>0.18</v>
      </c>
      <c r="H140" s="303"/>
      <c r="I140" s="304"/>
      <c r="J140" s="305"/>
      <c r="K140" s="306" t="s">
        <v>197</v>
      </c>
      <c r="L140" s="309">
        <f>G140*I140</f>
        <v>0</v>
      </c>
    </row>
    <row r="141" spans="2:13" ht="14.4" x14ac:dyDescent="0.25">
      <c r="B141" s="310"/>
      <c r="C141" s="14" t="s">
        <v>387</v>
      </c>
      <c r="D141" s="12"/>
      <c r="E141" s="311"/>
      <c r="F141" s="312"/>
      <c r="G141" s="19"/>
      <c r="H141" s="10"/>
      <c r="I141" s="247"/>
      <c r="J141" s="313"/>
      <c r="K141" s="14" t="s">
        <v>197</v>
      </c>
      <c r="L141" s="106">
        <f>SUM(L139:L140)</f>
        <v>0</v>
      </c>
    </row>
    <row r="142" spans="2:13" ht="13.8" x14ac:dyDescent="0.25">
      <c r="B142" s="298"/>
      <c r="C142" s="873" t="s">
        <v>382</v>
      </c>
      <c r="D142" s="865" t="s">
        <v>23</v>
      </c>
      <c r="E142" s="862" t="s">
        <v>17</v>
      </c>
      <c r="F142" s="862" t="s">
        <v>18</v>
      </c>
      <c r="G142" s="862" t="s">
        <v>2</v>
      </c>
      <c r="H142" s="862" t="s">
        <v>4</v>
      </c>
      <c r="I142" s="862" t="s">
        <v>19</v>
      </c>
      <c r="J142" s="863" t="s">
        <v>394</v>
      </c>
      <c r="K142" s="865" t="s">
        <v>7</v>
      </c>
      <c r="L142" s="872" t="s">
        <v>8</v>
      </c>
    </row>
    <row r="143" spans="2:13" ht="13.8" x14ac:dyDescent="0.25">
      <c r="B143" s="281"/>
      <c r="C143" s="874"/>
      <c r="D143" s="866"/>
      <c r="E143" s="862"/>
      <c r="F143" s="862"/>
      <c r="G143" s="862"/>
      <c r="H143" s="862"/>
      <c r="I143" s="862"/>
      <c r="J143" s="864"/>
      <c r="K143" s="866"/>
      <c r="L143" s="872"/>
    </row>
    <row r="144" spans="2:13" ht="14.4" x14ac:dyDescent="0.25">
      <c r="B144" s="281"/>
      <c r="C144" s="282" t="s">
        <v>390</v>
      </c>
      <c r="D144" s="21" t="s">
        <v>168</v>
      </c>
      <c r="E144" s="299"/>
      <c r="F144" s="299"/>
      <c r="G144" s="299"/>
      <c r="H144" s="299"/>
      <c r="I144" s="299"/>
      <c r="J144" s="300"/>
      <c r="K144" s="301"/>
      <c r="L144" s="302"/>
      <c r="M144" s="1"/>
    </row>
    <row r="145" spans="2:13" ht="14.4" x14ac:dyDescent="0.25">
      <c r="B145" s="281"/>
      <c r="C145" s="301"/>
      <c r="D145" s="11" t="s">
        <v>383</v>
      </c>
      <c r="E145" s="303"/>
      <c r="F145" s="303">
        <v>25.85</v>
      </c>
      <c r="G145" s="303"/>
      <c r="H145" s="303"/>
      <c r="I145" s="304">
        <v>1</v>
      </c>
      <c r="J145" s="305"/>
      <c r="K145" s="306" t="s">
        <v>197</v>
      </c>
      <c r="L145" s="307">
        <f>F145*I145</f>
        <v>25.85</v>
      </c>
    </row>
    <row r="146" spans="2:13" ht="14.4" x14ac:dyDescent="0.25">
      <c r="B146" s="281"/>
      <c r="C146" s="301"/>
      <c r="D146" s="308" t="s">
        <v>384</v>
      </c>
      <c r="E146" s="303"/>
      <c r="F146" s="303"/>
      <c r="G146" s="303">
        <v>0.18</v>
      </c>
      <c r="H146" s="303"/>
      <c r="I146" s="304">
        <v>44</v>
      </c>
      <c r="J146" s="305"/>
      <c r="K146" s="306" t="s">
        <v>197</v>
      </c>
      <c r="L146" s="309">
        <f>G146*I146</f>
        <v>7.92</v>
      </c>
    </row>
    <row r="147" spans="2:13" ht="14.4" x14ac:dyDescent="0.25">
      <c r="B147" s="310"/>
      <c r="C147" s="14" t="s">
        <v>387</v>
      </c>
      <c r="D147" s="12"/>
      <c r="E147" s="311"/>
      <c r="F147" s="312"/>
      <c r="G147" s="19"/>
      <c r="H147" s="10"/>
      <c r="I147" s="247"/>
      <c r="J147" s="313"/>
      <c r="K147" s="14" t="s">
        <v>197</v>
      </c>
      <c r="L147" s="106">
        <f>SUM(L145:L146)</f>
        <v>33.770000000000003</v>
      </c>
    </row>
    <row r="148" spans="2:13" ht="13.8" x14ac:dyDescent="0.25">
      <c r="B148" s="316"/>
      <c r="C148" s="868" t="s">
        <v>382</v>
      </c>
      <c r="D148" s="865" t="s">
        <v>23</v>
      </c>
      <c r="E148" s="862" t="s">
        <v>17</v>
      </c>
      <c r="F148" s="862" t="s">
        <v>18</v>
      </c>
      <c r="G148" s="862" t="s">
        <v>2</v>
      </c>
      <c r="H148" s="862" t="s">
        <v>4</v>
      </c>
      <c r="I148" s="862" t="s">
        <v>19</v>
      </c>
      <c r="J148" s="863" t="s">
        <v>394</v>
      </c>
      <c r="K148" s="865" t="s">
        <v>7</v>
      </c>
      <c r="L148" s="867" t="s">
        <v>8</v>
      </c>
      <c r="M148" s="1"/>
    </row>
    <row r="149" spans="2:13" ht="13.8" x14ac:dyDescent="0.25">
      <c r="B149" s="316"/>
      <c r="C149" s="869"/>
      <c r="D149" s="866"/>
      <c r="E149" s="862"/>
      <c r="F149" s="862"/>
      <c r="G149" s="862"/>
      <c r="H149" s="862"/>
      <c r="I149" s="862"/>
      <c r="J149" s="864"/>
      <c r="K149" s="866"/>
      <c r="L149" s="867"/>
      <c r="M149" s="1"/>
    </row>
    <row r="150" spans="2:13" ht="14.4" x14ac:dyDescent="0.25">
      <c r="B150" s="316"/>
      <c r="C150" s="282" t="s">
        <v>730</v>
      </c>
      <c r="D150" s="21" t="s">
        <v>168</v>
      </c>
      <c r="E150" s="299"/>
      <c r="F150" s="299"/>
      <c r="G150" s="299"/>
      <c r="H150" s="299"/>
      <c r="I150" s="299"/>
      <c r="J150" s="300"/>
      <c r="K150" s="301"/>
      <c r="L150" s="302"/>
      <c r="M150" s="1"/>
    </row>
    <row r="151" spans="2:13" ht="14.4" x14ac:dyDescent="0.25">
      <c r="B151" s="316"/>
      <c r="C151" s="592"/>
      <c r="D151" s="11" t="s">
        <v>383</v>
      </c>
      <c r="E151" s="303"/>
      <c r="F151" s="303">
        <v>25.85</v>
      </c>
      <c r="G151" s="303"/>
      <c r="H151" s="303"/>
      <c r="I151" s="304">
        <v>1</v>
      </c>
      <c r="J151" s="305"/>
      <c r="K151" s="306" t="s">
        <v>197</v>
      </c>
      <c r="L151" s="609">
        <f>F151*I151</f>
        <v>25.85</v>
      </c>
      <c r="M151" s="1"/>
    </row>
    <row r="152" spans="2:13" ht="14.4" x14ac:dyDescent="0.25">
      <c r="B152" s="316"/>
      <c r="C152" s="592"/>
      <c r="D152" s="308" t="s">
        <v>384</v>
      </c>
      <c r="E152" s="303"/>
      <c r="F152" s="303"/>
      <c r="G152" s="303">
        <v>0.18</v>
      </c>
      <c r="H152" s="303"/>
      <c r="I152" s="304">
        <v>44</v>
      </c>
      <c r="J152" s="305"/>
      <c r="K152" s="306" t="s">
        <v>197</v>
      </c>
      <c r="L152" s="610">
        <f>G152*I152</f>
        <v>7.92</v>
      </c>
      <c r="M152" s="1"/>
    </row>
    <row r="153" spans="2:13" ht="14.4" x14ac:dyDescent="0.25">
      <c r="B153" s="316"/>
      <c r="C153" s="159" t="s">
        <v>387</v>
      </c>
      <c r="D153" s="12"/>
      <c r="E153" s="311"/>
      <c r="F153" s="312"/>
      <c r="G153" s="19"/>
      <c r="H153" s="10"/>
      <c r="I153" s="247"/>
      <c r="J153" s="313"/>
      <c r="K153" s="14" t="s">
        <v>197</v>
      </c>
      <c r="L153" s="35">
        <f>SUM(L151:L152)</f>
        <v>33.770000000000003</v>
      </c>
      <c r="M153" s="1"/>
    </row>
    <row r="154" spans="2:13" ht="13.8" x14ac:dyDescent="0.25">
      <c r="B154" s="316"/>
      <c r="C154" s="868" t="s">
        <v>382</v>
      </c>
      <c r="D154" s="865" t="s">
        <v>23</v>
      </c>
      <c r="E154" s="862" t="s">
        <v>17</v>
      </c>
      <c r="F154" s="862" t="s">
        <v>18</v>
      </c>
      <c r="G154" s="862" t="s">
        <v>2</v>
      </c>
      <c r="H154" s="862" t="s">
        <v>4</v>
      </c>
      <c r="I154" s="862" t="s">
        <v>19</v>
      </c>
      <c r="J154" s="863" t="s">
        <v>394</v>
      </c>
      <c r="K154" s="865" t="s">
        <v>7</v>
      </c>
      <c r="L154" s="867" t="s">
        <v>8</v>
      </c>
      <c r="M154" s="1"/>
    </row>
    <row r="155" spans="2:13" ht="13.8" x14ac:dyDescent="0.25">
      <c r="B155" s="316"/>
      <c r="C155" s="869"/>
      <c r="D155" s="866"/>
      <c r="E155" s="862"/>
      <c r="F155" s="862"/>
      <c r="G155" s="862"/>
      <c r="H155" s="862"/>
      <c r="I155" s="862"/>
      <c r="J155" s="864"/>
      <c r="K155" s="866"/>
      <c r="L155" s="867"/>
      <c r="M155" s="1"/>
    </row>
    <row r="156" spans="2:13" ht="14.4" x14ac:dyDescent="0.25">
      <c r="B156" s="316"/>
      <c r="C156" s="282" t="s">
        <v>731</v>
      </c>
      <c r="D156" s="21" t="s">
        <v>168</v>
      </c>
      <c r="E156" s="299"/>
      <c r="F156" s="299"/>
      <c r="G156" s="299"/>
      <c r="H156" s="299"/>
      <c r="I156" s="299"/>
      <c r="J156" s="300"/>
      <c r="K156" s="301"/>
      <c r="L156" s="302"/>
      <c r="M156" s="1"/>
    </row>
    <row r="157" spans="2:13" ht="14.4" x14ac:dyDescent="0.25">
      <c r="B157" s="316"/>
      <c r="C157" s="592"/>
      <c r="D157" s="11" t="s">
        <v>383</v>
      </c>
      <c r="E157" s="303"/>
      <c r="F157" s="303"/>
      <c r="G157" s="303"/>
      <c r="H157" s="303"/>
      <c r="I157" s="304">
        <v>1</v>
      </c>
      <c r="J157" s="305"/>
      <c r="K157" s="306" t="s">
        <v>197</v>
      </c>
      <c r="L157" s="609">
        <f>F157*I157</f>
        <v>0</v>
      </c>
      <c r="M157" s="1"/>
    </row>
    <row r="158" spans="2:13" ht="14.4" x14ac:dyDescent="0.25">
      <c r="B158" s="316"/>
      <c r="C158" s="592"/>
      <c r="D158" s="308" t="s">
        <v>384</v>
      </c>
      <c r="E158" s="303"/>
      <c r="F158" s="303"/>
      <c r="G158" s="303">
        <v>0.18</v>
      </c>
      <c r="H158" s="303"/>
      <c r="I158" s="304"/>
      <c r="J158" s="305"/>
      <c r="K158" s="306" t="s">
        <v>197</v>
      </c>
      <c r="L158" s="610">
        <f>G158*I158</f>
        <v>0</v>
      </c>
      <c r="M158" s="1"/>
    </row>
    <row r="159" spans="2:13" ht="14.4" x14ac:dyDescent="0.25">
      <c r="B159" s="316"/>
      <c r="C159" s="159" t="s">
        <v>387</v>
      </c>
      <c r="D159" s="12"/>
      <c r="E159" s="311"/>
      <c r="F159" s="312"/>
      <c r="G159" s="19"/>
      <c r="H159" s="10"/>
      <c r="I159" s="247"/>
      <c r="J159" s="313"/>
      <c r="K159" s="14" t="s">
        <v>197</v>
      </c>
      <c r="L159" s="35">
        <f>SUM(L157:L158)</f>
        <v>0</v>
      </c>
      <c r="M159" s="1"/>
    </row>
    <row r="160" spans="2:13" ht="13.8" x14ac:dyDescent="0.25">
      <c r="B160" s="316"/>
      <c r="C160" s="868" t="s">
        <v>382</v>
      </c>
      <c r="D160" s="865" t="s">
        <v>23</v>
      </c>
      <c r="E160" s="862" t="s">
        <v>17</v>
      </c>
      <c r="F160" s="862" t="s">
        <v>18</v>
      </c>
      <c r="G160" s="862" t="s">
        <v>2</v>
      </c>
      <c r="H160" s="862" t="s">
        <v>4</v>
      </c>
      <c r="I160" s="862" t="s">
        <v>19</v>
      </c>
      <c r="J160" s="863" t="s">
        <v>394</v>
      </c>
      <c r="K160" s="865" t="s">
        <v>7</v>
      </c>
      <c r="L160" s="867" t="s">
        <v>8</v>
      </c>
      <c r="M160" s="1"/>
    </row>
    <row r="161" spans="2:13" ht="13.8" x14ac:dyDescent="0.25">
      <c r="B161" s="316"/>
      <c r="C161" s="869"/>
      <c r="D161" s="866"/>
      <c r="E161" s="862"/>
      <c r="F161" s="862"/>
      <c r="G161" s="862"/>
      <c r="H161" s="862"/>
      <c r="I161" s="862"/>
      <c r="J161" s="864"/>
      <c r="K161" s="866"/>
      <c r="L161" s="867"/>
      <c r="M161" s="1"/>
    </row>
    <row r="162" spans="2:13" ht="14.4" x14ac:dyDescent="0.25">
      <c r="B162" s="316"/>
      <c r="C162" s="282" t="s">
        <v>732</v>
      </c>
      <c r="D162" s="21" t="s">
        <v>168</v>
      </c>
      <c r="E162" s="299"/>
      <c r="F162" s="299"/>
      <c r="G162" s="299"/>
      <c r="H162" s="299"/>
      <c r="I162" s="299"/>
      <c r="J162" s="300"/>
      <c r="K162" s="301"/>
      <c r="L162" s="302"/>
      <c r="M162" s="1"/>
    </row>
    <row r="163" spans="2:13" ht="14.4" x14ac:dyDescent="0.25">
      <c r="B163" s="316"/>
      <c r="C163" s="592"/>
      <c r="D163" s="11" t="s">
        <v>383</v>
      </c>
      <c r="E163" s="303"/>
      <c r="F163" s="303">
        <v>25.85</v>
      </c>
      <c r="G163" s="303"/>
      <c r="H163" s="303"/>
      <c r="I163" s="304">
        <v>1</v>
      </c>
      <c r="J163" s="305"/>
      <c r="K163" s="306" t="s">
        <v>197</v>
      </c>
      <c r="L163" s="609">
        <f>F163*I163</f>
        <v>25.85</v>
      </c>
      <c r="M163" s="1"/>
    </row>
    <row r="164" spans="2:13" ht="14.4" x14ac:dyDescent="0.25">
      <c r="B164" s="316"/>
      <c r="C164" s="592"/>
      <c r="D164" s="308" t="s">
        <v>384</v>
      </c>
      <c r="E164" s="303"/>
      <c r="F164" s="303"/>
      <c r="G164" s="303">
        <v>0.18</v>
      </c>
      <c r="H164" s="303"/>
      <c r="I164" s="304">
        <v>44</v>
      </c>
      <c r="J164" s="305"/>
      <c r="K164" s="306" t="s">
        <v>197</v>
      </c>
      <c r="L164" s="610">
        <f>G164*I164</f>
        <v>7.92</v>
      </c>
      <c r="M164" s="1"/>
    </row>
    <row r="165" spans="2:13" ht="14.4" x14ac:dyDescent="0.25">
      <c r="B165" s="316"/>
      <c r="C165" s="159" t="s">
        <v>387</v>
      </c>
      <c r="D165" s="12"/>
      <c r="E165" s="311"/>
      <c r="F165" s="312"/>
      <c r="G165" s="19"/>
      <c r="H165" s="10"/>
      <c r="I165" s="247"/>
      <c r="J165" s="313"/>
      <c r="K165" s="14" t="s">
        <v>197</v>
      </c>
      <c r="L165" s="35">
        <f>SUM(L163:L164)</f>
        <v>33.770000000000003</v>
      </c>
      <c r="M165" s="1"/>
    </row>
    <row r="166" spans="2:13" ht="13.8" x14ac:dyDescent="0.25">
      <c r="B166" s="316"/>
      <c r="C166" s="868" t="s">
        <v>382</v>
      </c>
      <c r="D166" s="865" t="s">
        <v>23</v>
      </c>
      <c r="E166" s="862" t="s">
        <v>17</v>
      </c>
      <c r="F166" s="862" t="s">
        <v>18</v>
      </c>
      <c r="G166" s="862" t="s">
        <v>2</v>
      </c>
      <c r="H166" s="862" t="s">
        <v>4</v>
      </c>
      <c r="I166" s="862" t="s">
        <v>19</v>
      </c>
      <c r="J166" s="863" t="s">
        <v>394</v>
      </c>
      <c r="K166" s="865" t="s">
        <v>7</v>
      </c>
      <c r="L166" s="867" t="s">
        <v>8</v>
      </c>
      <c r="M166" s="1"/>
    </row>
    <row r="167" spans="2:13" ht="13.8" x14ac:dyDescent="0.25">
      <c r="B167" s="316"/>
      <c r="C167" s="869"/>
      <c r="D167" s="866"/>
      <c r="E167" s="862"/>
      <c r="F167" s="862"/>
      <c r="G167" s="862"/>
      <c r="H167" s="862"/>
      <c r="I167" s="862"/>
      <c r="J167" s="864"/>
      <c r="K167" s="866"/>
      <c r="L167" s="867"/>
      <c r="M167" s="1"/>
    </row>
    <row r="168" spans="2:13" ht="14.4" x14ac:dyDescent="0.25">
      <c r="B168" s="316"/>
      <c r="C168" s="282" t="s">
        <v>733</v>
      </c>
      <c r="D168" s="21" t="s">
        <v>168</v>
      </c>
      <c r="E168" s="299"/>
      <c r="F168" s="299"/>
      <c r="G168" s="299"/>
      <c r="H168" s="299"/>
      <c r="I168" s="299"/>
      <c r="J168" s="300"/>
      <c r="K168" s="301"/>
      <c r="L168" s="302"/>
      <c r="M168" s="1"/>
    </row>
    <row r="169" spans="2:13" ht="14.4" x14ac:dyDescent="0.25">
      <c r="B169" s="316"/>
      <c r="C169" s="592"/>
      <c r="D169" s="11" t="s">
        <v>383</v>
      </c>
      <c r="E169" s="303"/>
      <c r="F169" s="303">
        <v>26.1</v>
      </c>
      <c r="G169" s="303"/>
      <c r="H169" s="303"/>
      <c r="I169" s="304">
        <v>1</v>
      </c>
      <c r="J169" s="305"/>
      <c r="K169" s="306" t="s">
        <v>197</v>
      </c>
      <c r="L169" s="609">
        <f>F169*I169</f>
        <v>26.1</v>
      </c>
      <c r="M169" s="1"/>
    </row>
    <row r="170" spans="2:13" ht="14.4" x14ac:dyDescent="0.25">
      <c r="B170" s="316"/>
      <c r="C170" s="592"/>
      <c r="D170" s="308" t="s">
        <v>384</v>
      </c>
      <c r="E170" s="303"/>
      <c r="F170" s="303"/>
      <c r="G170" s="303">
        <v>0.18</v>
      </c>
      <c r="H170" s="303"/>
      <c r="I170" s="304">
        <v>44</v>
      </c>
      <c r="J170" s="305"/>
      <c r="K170" s="306" t="s">
        <v>197</v>
      </c>
      <c r="L170" s="610">
        <f>G170*I170</f>
        <v>7.92</v>
      </c>
      <c r="M170" s="1"/>
    </row>
    <row r="171" spans="2:13" ht="14.4" x14ac:dyDescent="0.25">
      <c r="B171" s="316"/>
      <c r="C171" s="159" t="s">
        <v>387</v>
      </c>
      <c r="D171" s="12"/>
      <c r="E171" s="311"/>
      <c r="F171" s="312"/>
      <c r="G171" s="19"/>
      <c r="H171" s="10"/>
      <c r="I171" s="247"/>
      <c r="J171" s="313"/>
      <c r="K171" s="14" t="s">
        <v>197</v>
      </c>
      <c r="L171" s="35">
        <f>SUM(L169:L170)</f>
        <v>34.020000000000003</v>
      </c>
      <c r="M171" s="1"/>
    </row>
    <row r="172" spans="2:13" ht="13.8" x14ac:dyDescent="0.25">
      <c r="B172" s="316"/>
      <c r="C172" s="868" t="s">
        <v>382</v>
      </c>
      <c r="D172" s="865" t="s">
        <v>23</v>
      </c>
      <c r="E172" s="862" t="s">
        <v>17</v>
      </c>
      <c r="F172" s="862" t="s">
        <v>18</v>
      </c>
      <c r="G172" s="862" t="s">
        <v>2</v>
      </c>
      <c r="H172" s="862" t="s">
        <v>4</v>
      </c>
      <c r="I172" s="862" t="s">
        <v>19</v>
      </c>
      <c r="J172" s="863" t="s">
        <v>394</v>
      </c>
      <c r="K172" s="865" t="s">
        <v>7</v>
      </c>
      <c r="L172" s="867" t="s">
        <v>8</v>
      </c>
      <c r="M172" s="1"/>
    </row>
    <row r="173" spans="2:13" ht="13.8" x14ac:dyDescent="0.25">
      <c r="B173" s="316"/>
      <c r="C173" s="869"/>
      <c r="D173" s="866"/>
      <c r="E173" s="862"/>
      <c r="F173" s="862"/>
      <c r="G173" s="862"/>
      <c r="H173" s="862"/>
      <c r="I173" s="862"/>
      <c r="J173" s="864"/>
      <c r="K173" s="866"/>
      <c r="L173" s="867"/>
      <c r="M173" s="1"/>
    </row>
    <row r="174" spans="2:13" ht="14.4" x14ac:dyDescent="0.25">
      <c r="B174" s="316"/>
      <c r="C174" s="282" t="s">
        <v>734</v>
      </c>
      <c r="D174" s="21" t="s">
        <v>168</v>
      </c>
      <c r="E174" s="299"/>
      <c r="F174" s="299"/>
      <c r="G174" s="299"/>
      <c r="H174" s="299"/>
      <c r="I174" s="299"/>
      <c r="J174" s="300"/>
      <c r="K174" s="301"/>
      <c r="L174" s="302"/>
      <c r="M174" s="1"/>
    </row>
    <row r="175" spans="2:13" ht="14.4" x14ac:dyDescent="0.25">
      <c r="B175" s="316"/>
      <c r="C175" s="592"/>
      <c r="D175" s="11" t="s">
        <v>383</v>
      </c>
      <c r="E175" s="303"/>
      <c r="F175" s="303">
        <v>25.71</v>
      </c>
      <c r="G175" s="303"/>
      <c r="H175" s="303"/>
      <c r="I175" s="304">
        <v>1</v>
      </c>
      <c r="J175" s="305"/>
      <c r="K175" s="306" t="s">
        <v>197</v>
      </c>
      <c r="L175" s="609">
        <f>F175*I175</f>
        <v>25.71</v>
      </c>
      <c r="M175" s="1"/>
    </row>
    <row r="176" spans="2:13" ht="14.4" x14ac:dyDescent="0.25">
      <c r="B176" s="316"/>
      <c r="C176" s="592"/>
      <c r="D176" s="308" t="s">
        <v>384</v>
      </c>
      <c r="E176" s="303"/>
      <c r="F176" s="303"/>
      <c r="G176" s="303">
        <v>0.18</v>
      </c>
      <c r="H176" s="303"/>
      <c r="I176" s="304">
        <v>44</v>
      </c>
      <c r="J176" s="305"/>
      <c r="K176" s="306" t="s">
        <v>197</v>
      </c>
      <c r="L176" s="610">
        <f>G176*I176</f>
        <v>7.92</v>
      </c>
      <c r="M176" s="1"/>
    </row>
    <row r="177" spans="2:12" ht="14.4" x14ac:dyDescent="0.25">
      <c r="B177" s="316"/>
      <c r="C177" s="14" t="s">
        <v>387</v>
      </c>
      <c r="D177" s="12"/>
      <c r="E177" s="311"/>
      <c r="F177" s="312"/>
      <c r="G177" s="19"/>
      <c r="H177" s="10"/>
      <c r="I177" s="247"/>
      <c r="J177" s="313"/>
      <c r="K177" s="14" t="s">
        <v>197</v>
      </c>
      <c r="L177" s="106">
        <f>SUM(L175:L176)</f>
        <v>33.630000000000003</v>
      </c>
    </row>
    <row r="178" spans="2:12" ht="14.4" x14ac:dyDescent="0.25">
      <c r="B178" s="316"/>
      <c r="C178" s="14"/>
      <c r="D178" s="12"/>
      <c r="E178" s="311"/>
      <c r="F178" s="312"/>
      <c r="G178" s="19"/>
      <c r="H178" s="10"/>
      <c r="I178" s="247"/>
      <c r="J178" s="313"/>
      <c r="K178" s="14"/>
      <c r="L178" s="106"/>
    </row>
    <row r="179" spans="2:12" ht="14.4" x14ac:dyDescent="0.25">
      <c r="B179" s="21" t="s">
        <v>391</v>
      </c>
      <c r="C179" s="315"/>
      <c r="D179" s="12"/>
      <c r="E179" s="10"/>
      <c r="F179" s="10"/>
      <c r="G179" s="10"/>
      <c r="H179" s="10"/>
      <c r="I179" s="247"/>
      <c r="J179" s="14"/>
      <c r="K179" s="14" t="s">
        <v>197</v>
      </c>
      <c r="L179" s="106">
        <f>SUM(L135,L141,L147,L153,L159,L165,L171,L177)</f>
        <v>168.96</v>
      </c>
    </row>
  </sheetData>
  <mergeCells count="220">
    <mergeCell ref="L50:L51"/>
    <mergeCell ref="I44:I45"/>
    <mergeCell ref="J44:J45"/>
    <mergeCell ref="K44:K45"/>
    <mergeCell ref="L44:L45"/>
    <mergeCell ref="H50:H51"/>
    <mergeCell ref="H44:H45"/>
    <mergeCell ref="I50:I51"/>
    <mergeCell ref="J50:J51"/>
    <mergeCell ref="K50:K51"/>
    <mergeCell ref="L26:L27"/>
    <mergeCell ref="C44:C45"/>
    <mergeCell ref="D44:D45"/>
    <mergeCell ref="E44:E45"/>
    <mergeCell ref="F44:F45"/>
    <mergeCell ref="G44:G45"/>
    <mergeCell ref="E26:E27"/>
    <mergeCell ref="F26:F27"/>
    <mergeCell ref="G26:G27"/>
    <mergeCell ref="H26:H27"/>
    <mergeCell ref="I26:I27"/>
    <mergeCell ref="I38:I39"/>
    <mergeCell ref="I9:I10"/>
    <mergeCell ref="J9:J10"/>
    <mergeCell ref="K9:K10"/>
    <mergeCell ref="L9:L10"/>
    <mergeCell ref="C38:C39"/>
    <mergeCell ref="D38:D39"/>
    <mergeCell ref="E38:E39"/>
    <mergeCell ref="F38:F39"/>
    <mergeCell ref="G38:G39"/>
    <mergeCell ref="H38:H39"/>
    <mergeCell ref="C9:C10"/>
    <mergeCell ref="D9:D10"/>
    <mergeCell ref="E9:E10"/>
    <mergeCell ref="F9:F10"/>
    <mergeCell ref="G9:G10"/>
    <mergeCell ref="H9:H10"/>
    <mergeCell ref="L38:L39"/>
    <mergeCell ref="C18:C19"/>
    <mergeCell ref="D18:D19"/>
    <mergeCell ref="E18:E19"/>
    <mergeCell ref="F18:F19"/>
    <mergeCell ref="G18:G19"/>
    <mergeCell ref="J18:J19"/>
    <mergeCell ref="K18:K19"/>
    <mergeCell ref="H18:H19"/>
    <mergeCell ref="I18:I19"/>
    <mergeCell ref="H61:H62"/>
    <mergeCell ref="I61:I62"/>
    <mergeCell ref="J61:J62"/>
    <mergeCell ref="K61:K62"/>
    <mergeCell ref="L61:L62"/>
    <mergeCell ref="C61:C62"/>
    <mergeCell ref="D61:D62"/>
    <mergeCell ref="E61:E62"/>
    <mergeCell ref="F61:F62"/>
    <mergeCell ref="G61:G62"/>
    <mergeCell ref="J38:J39"/>
    <mergeCell ref="K38:K39"/>
    <mergeCell ref="C50:C51"/>
    <mergeCell ref="D50:D51"/>
    <mergeCell ref="E50:E51"/>
    <mergeCell ref="F50:F51"/>
    <mergeCell ref="G50:G51"/>
    <mergeCell ref="L18:L19"/>
    <mergeCell ref="C26:C27"/>
    <mergeCell ref="D26:D27"/>
    <mergeCell ref="J26:J27"/>
    <mergeCell ref="K26:K27"/>
    <mergeCell ref="H70:H71"/>
    <mergeCell ref="I70:I71"/>
    <mergeCell ref="J70:J71"/>
    <mergeCell ref="K70:K71"/>
    <mergeCell ref="L70:L71"/>
    <mergeCell ref="C70:C71"/>
    <mergeCell ref="D70:D71"/>
    <mergeCell ref="E70:E71"/>
    <mergeCell ref="F70:F71"/>
    <mergeCell ref="G70:G71"/>
    <mergeCell ref="H78:H79"/>
    <mergeCell ref="I78:I79"/>
    <mergeCell ref="J78:J79"/>
    <mergeCell ref="K78:K79"/>
    <mergeCell ref="L78:L79"/>
    <mergeCell ref="C78:C79"/>
    <mergeCell ref="D78:D79"/>
    <mergeCell ref="E78:E79"/>
    <mergeCell ref="F78:F79"/>
    <mergeCell ref="G78:G79"/>
    <mergeCell ref="H130:H131"/>
    <mergeCell ref="I130:I131"/>
    <mergeCell ref="J130:J131"/>
    <mergeCell ref="K130:K131"/>
    <mergeCell ref="L130:L131"/>
    <mergeCell ref="C130:C131"/>
    <mergeCell ref="D130:D131"/>
    <mergeCell ref="E130:E131"/>
    <mergeCell ref="F130:F131"/>
    <mergeCell ref="G130:G131"/>
    <mergeCell ref="H136:H137"/>
    <mergeCell ref="I136:I137"/>
    <mergeCell ref="J136:J137"/>
    <mergeCell ref="K136:K137"/>
    <mergeCell ref="L136:L137"/>
    <mergeCell ref="C136:C137"/>
    <mergeCell ref="D136:D137"/>
    <mergeCell ref="E136:E137"/>
    <mergeCell ref="F136:F137"/>
    <mergeCell ref="G136:G137"/>
    <mergeCell ref="H142:H143"/>
    <mergeCell ref="I142:I143"/>
    <mergeCell ref="J142:J143"/>
    <mergeCell ref="K142:K143"/>
    <mergeCell ref="L142:L143"/>
    <mergeCell ref="C142:C143"/>
    <mergeCell ref="D142:D143"/>
    <mergeCell ref="E142:E143"/>
    <mergeCell ref="F142:F143"/>
    <mergeCell ref="G142:G143"/>
    <mergeCell ref="H86:H87"/>
    <mergeCell ref="I86:I87"/>
    <mergeCell ref="J86:J87"/>
    <mergeCell ref="K86:K87"/>
    <mergeCell ref="L86:L87"/>
    <mergeCell ref="C86:C87"/>
    <mergeCell ref="D86:D87"/>
    <mergeCell ref="E86:E87"/>
    <mergeCell ref="F86:F87"/>
    <mergeCell ref="G86:G87"/>
    <mergeCell ref="H94:H95"/>
    <mergeCell ref="I94:I95"/>
    <mergeCell ref="J94:J95"/>
    <mergeCell ref="K94:K95"/>
    <mergeCell ref="L94:L95"/>
    <mergeCell ref="C94:C95"/>
    <mergeCell ref="D94:D95"/>
    <mergeCell ref="E94:E95"/>
    <mergeCell ref="F94:F95"/>
    <mergeCell ref="G94:G95"/>
    <mergeCell ref="H102:H103"/>
    <mergeCell ref="I102:I103"/>
    <mergeCell ref="J102:J103"/>
    <mergeCell ref="K102:K103"/>
    <mergeCell ref="L102:L103"/>
    <mergeCell ref="C102:C103"/>
    <mergeCell ref="D102:D103"/>
    <mergeCell ref="E102:E103"/>
    <mergeCell ref="F102:F103"/>
    <mergeCell ref="G102:G103"/>
    <mergeCell ref="H110:H111"/>
    <mergeCell ref="I110:I111"/>
    <mergeCell ref="J110:J111"/>
    <mergeCell ref="K110:K111"/>
    <mergeCell ref="L110:L111"/>
    <mergeCell ref="C110:C111"/>
    <mergeCell ref="D110:D111"/>
    <mergeCell ref="E110:E111"/>
    <mergeCell ref="F110:F111"/>
    <mergeCell ref="G110:G111"/>
    <mergeCell ref="H118:H119"/>
    <mergeCell ref="I118:I119"/>
    <mergeCell ref="J118:J119"/>
    <mergeCell ref="K118:K119"/>
    <mergeCell ref="L118:L119"/>
    <mergeCell ref="C118:C119"/>
    <mergeCell ref="D118:D119"/>
    <mergeCell ref="E118:E119"/>
    <mergeCell ref="F118:F119"/>
    <mergeCell ref="G118:G119"/>
    <mergeCell ref="H148:H149"/>
    <mergeCell ref="I148:I149"/>
    <mergeCell ref="J148:J149"/>
    <mergeCell ref="K148:K149"/>
    <mergeCell ref="L148:L149"/>
    <mergeCell ref="C148:C149"/>
    <mergeCell ref="D148:D149"/>
    <mergeCell ref="E148:E149"/>
    <mergeCell ref="F148:F149"/>
    <mergeCell ref="G148:G149"/>
    <mergeCell ref="H154:H155"/>
    <mergeCell ref="I154:I155"/>
    <mergeCell ref="J154:J155"/>
    <mergeCell ref="K154:K155"/>
    <mergeCell ref="L154:L155"/>
    <mergeCell ref="C154:C155"/>
    <mergeCell ref="D154:D155"/>
    <mergeCell ref="E154:E155"/>
    <mergeCell ref="F154:F155"/>
    <mergeCell ref="G154:G155"/>
    <mergeCell ref="H160:H161"/>
    <mergeCell ref="I160:I161"/>
    <mergeCell ref="J160:J161"/>
    <mergeCell ref="K160:K161"/>
    <mergeCell ref="L160:L161"/>
    <mergeCell ref="C160:C161"/>
    <mergeCell ref="D160:D161"/>
    <mergeCell ref="E160:E161"/>
    <mergeCell ref="F160:F161"/>
    <mergeCell ref="G160:G161"/>
    <mergeCell ref="H166:H167"/>
    <mergeCell ref="I166:I167"/>
    <mergeCell ref="J166:J167"/>
    <mergeCell ref="K166:K167"/>
    <mergeCell ref="L166:L167"/>
    <mergeCell ref="C166:C167"/>
    <mergeCell ref="D166:D167"/>
    <mergeCell ref="E166:E167"/>
    <mergeCell ref="F166:F167"/>
    <mergeCell ref="G166:G167"/>
    <mergeCell ref="H172:H173"/>
    <mergeCell ref="I172:I173"/>
    <mergeCell ref="J172:J173"/>
    <mergeCell ref="K172:K173"/>
    <mergeCell ref="L172:L173"/>
    <mergeCell ref="C172:C173"/>
    <mergeCell ref="D172:D173"/>
    <mergeCell ref="E172:E173"/>
    <mergeCell ref="F172:F173"/>
    <mergeCell ref="G172:G17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62"/>
  <sheetViews>
    <sheetView topLeftCell="A127" zoomScaleNormal="100" workbookViewId="0">
      <selection activeCell="B143" sqref="B143"/>
    </sheetView>
  </sheetViews>
  <sheetFormatPr defaultRowHeight="13.2" x14ac:dyDescent="0.25"/>
  <cols>
    <col min="1" max="1" width="11.77734375" customWidth="1"/>
    <col min="2" max="2" width="52.77734375" customWidth="1"/>
    <col min="3" max="3" width="11" customWidth="1"/>
    <col min="4" max="4" width="11.33203125" customWidth="1"/>
    <col min="5" max="5" width="9.77734375" customWidth="1"/>
    <col min="6" max="6" width="14.109375" customWidth="1"/>
    <col min="7" max="15" width="7.77734375" customWidth="1"/>
    <col min="16" max="16" width="8.88671875" customWidth="1"/>
    <col min="18" max="18" width="8.6640625" customWidth="1"/>
    <col min="19" max="19" width="13.33203125" customWidth="1"/>
    <col min="20" max="20" width="10.88671875" customWidth="1"/>
    <col min="21" max="21" width="7.88671875" customWidth="1"/>
    <col min="22" max="30" width="7.77734375" customWidth="1"/>
    <col min="31" max="31" width="18.44140625" customWidth="1"/>
  </cols>
  <sheetData>
    <row r="1" spans="1:31" ht="14.4" x14ac:dyDescent="0.25">
      <c r="G1" s="763" t="s">
        <v>719</v>
      </c>
    </row>
    <row r="2" spans="1:31" ht="15" customHeight="1" x14ac:dyDescent="0.25">
      <c r="A2" s="66"/>
      <c r="B2" s="152" t="s">
        <v>55</v>
      </c>
      <c r="C2" s="69"/>
      <c r="G2" s="749" t="s">
        <v>813</v>
      </c>
    </row>
    <row r="3" spans="1:31" ht="15" customHeight="1" x14ac:dyDescent="0.25">
      <c r="A3" s="66"/>
      <c r="B3" s="152" t="s">
        <v>56</v>
      </c>
      <c r="C3" s="69"/>
      <c r="G3" s="745" t="s">
        <v>790</v>
      </c>
    </row>
    <row r="4" spans="1:31" ht="15" customHeight="1" x14ac:dyDescent="0.25">
      <c r="B4" s="154" t="s">
        <v>54</v>
      </c>
      <c r="C4" s="71"/>
      <c r="D4" s="69"/>
      <c r="E4" s="72"/>
      <c r="F4" s="69"/>
      <c r="G4" s="752" t="s">
        <v>806</v>
      </c>
      <c r="H4" s="72"/>
      <c r="I4" s="72"/>
      <c r="J4" s="72"/>
      <c r="K4" s="72"/>
      <c r="L4" s="72"/>
      <c r="M4" s="72"/>
      <c r="N4" s="72"/>
      <c r="O4" s="72"/>
      <c r="P4" s="72"/>
    </row>
    <row r="5" spans="1:31" ht="15" customHeight="1" x14ac:dyDescent="0.25">
      <c r="G5" s="756" t="s">
        <v>811</v>
      </c>
    </row>
    <row r="6" spans="1:31" ht="15" customHeight="1" x14ac:dyDescent="0.25">
      <c r="B6" s="161" t="s">
        <v>380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</row>
    <row r="7" spans="1:31" ht="15" customHeight="1" x14ac:dyDescent="0.25">
      <c r="G7" s="165" t="s">
        <v>50</v>
      </c>
      <c r="H7" s="165" t="s">
        <v>93</v>
      </c>
      <c r="I7" s="165" t="s">
        <v>94</v>
      </c>
      <c r="J7" s="165" t="s">
        <v>95</v>
      </c>
      <c r="K7" s="165" t="s">
        <v>96</v>
      </c>
      <c r="L7" s="165" t="s">
        <v>97</v>
      </c>
      <c r="M7" s="165" t="s">
        <v>98</v>
      </c>
      <c r="N7" s="165" t="s">
        <v>646</v>
      </c>
      <c r="O7" s="165" t="s">
        <v>735</v>
      </c>
      <c r="P7" s="69"/>
      <c r="Q7" s="69"/>
      <c r="R7" s="69"/>
      <c r="S7" s="166"/>
      <c r="T7" s="166"/>
      <c r="U7" s="164" t="s">
        <v>99</v>
      </c>
      <c r="V7" s="164" t="s">
        <v>100</v>
      </c>
      <c r="W7" s="164" t="s">
        <v>101</v>
      </c>
      <c r="X7" s="164" t="s">
        <v>102</v>
      </c>
      <c r="Y7" s="164" t="s">
        <v>103</v>
      </c>
      <c r="Z7" s="164" t="s">
        <v>104</v>
      </c>
      <c r="AA7" s="164" t="s">
        <v>105</v>
      </c>
      <c r="AB7" s="164" t="s">
        <v>616</v>
      </c>
      <c r="AC7" s="164" t="s">
        <v>727</v>
      </c>
      <c r="AD7" s="77"/>
    </row>
    <row r="8" spans="1:31" ht="15.6" x14ac:dyDescent="0.25">
      <c r="B8" s="2" t="s">
        <v>41</v>
      </c>
      <c r="C8" s="142"/>
      <c r="D8" s="14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/>
      <c r="Q8" s="5"/>
      <c r="R8" s="6"/>
      <c r="S8" s="5"/>
      <c r="T8" s="27"/>
      <c r="U8" s="77"/>
      <c r="V8" s="77"/>
      <c r="W8" s="77"/>
      <c r="X8" s="77"/>
      <c r="Y8" s="77"/>
      <c r="Z8" s="77"/>
      <c r="AA8" s="77"/>
      <c r="AB8" s="77"/>
      <c r="AC8" s="77"/>
      <c r="AD8" s="77"/>
      <c r="AE8" s="1"/>
    </row>
    <row r="9" spans="1:31" ht="25.05" customHeight="1" x14ac:dyDescent="0.25">
      <c r="B9" s="823" t="s">
        <v>1</v>
      </c>
      <c r="C9" s="102" t="s">
        <v>46</v>
      </c>
      <c r="D9" s="102" t="s">
        <v>47</v>
      </c>
      <c r="E9" s="68" t="s">
        <v>4</v>
      </c>
      <c r="F9" s="68" t="s">
        <v>40</v>
      </c>
      <c r="G9" s="140" t="s">
        <v>42</v>
      </c>
      <c r="H9" s="140" t="s">
        <v>42</v>
      </c>
      <c r="I9" s="140" t="s">
        <v>42</v>
      </c>
      <c r="J9" s="140" t="s">
        <v>42</v>
      </c>
      <c r="K9" s="140" t="s">
        <v>42</v>
      </c>
      <c r="L9" s="140" t="s">
        <v>42</v>
      </c>
      <c r="M9" s="140" t="s">
        <v>42</v>
      </c>
      <c r="N9" s="140" t="s">
        <v>42</v>
      </c>
      <c r="O9" s="140" t="s">
        <v>42</v>
      </c>
      <c r="P9" s="67" t="s">
        <v>5</v>
      </c>
      <c r="Q9" s="823" t="s">
        <v>7</v>
      </c>
      <c r="R9" s="68" t="s">
        <v>37</v>
      </c>
      <c r="S9" s="103" t="s">
        <v>151</v>
      </c>
      <c r="T9" s="138" t="s">
        <v>48</v>
      </c>
      <c r="U9" s="831" t="s">
        <v>50</v>
      </c>
      <c r="V9" s="830" t="s">
        <v>93</v>
      </c>
      <c r="W9" s="830" t="s">
        <v>94</v>
      </c>
      <c r="X9" s="830" t="s">
        <v>95</v>
      </c>
      <c r="Y9" s="830" t="s">
        <v>96</v>
      </c>
      <c r="Z9" s="830" t="s">
        <v>97</v>
      </c>
      <c r="AA9" s="830" t="s">
        <v>98</v>
      </c>
      <c r="AB9" s="830" t="s">
        <v>646</v>
      </c>
      <c r="AC9" s="830" t="s">
        <v>735</v>
      </c>
      <c r="AD9" s="875" t="s">
        <v>8</v>
      </c>
      <c r="AE9" s="1"/>
    </row>
    <row r="10" spans="1:31" ht="15" customHeight="1" x14ac:dyDescent="0.3">
      <c r="B10" s="823"/>
      <c r="C10" s="81" t="s">
        <v>10</v>
      </c>
      <c r="D10" s="81" t="s">
        <v>10</v>
      </c>
      <c r="E10" s="81" t="s">
        <v>10</v>
      </c>
      <c r="F10" s="81" t="s">
        <v>10</v>
      </c>
      <c r="G10" s="80" t="s">
        <v>9</v>
      </c>
      <c r="H10" s="80" t="s">
        <v>9</v>
      </c>
      <c r="I10" s="80" t="s">
        <v>9</v>
      </c>
      <c r="J10" s="80" t="s">
        <v>9</v>
      </c>
      <c r="K10" s="80" t="s">
        <v>9</v>
      </c>
      <c r="L10" s="80" t="s">
        <v>9</v>
      </c>
      <c r="M10" s="80" t="s">
        <v>9</v>
      </c>
      <c r="N10" s="80" t="s">
        <v>9</v>
      </c>
      <c r="O10" s="80" t="s">
        <v>9</v>
      </c>
      <c r="P10" s="82" t="s">
        <v>11</v>
      </c>
      <c r="Q10" s="823"/>
      <c r="R10" s="81" t="s">
        <v>10</v>
      </c>
      <c r="S10" s="81" t="s">
        <v>11</v>
      </c>
      <c r="T10" s="81" t="s">
        <v>11</v>
      </c>
      <c r="U10" s="830"/>
      <c r="V10" s="831"/>
      <c r="W10" s="831"/>
      <c r="X10" s="831"/>
      <c r="Y10" s="831"/>
      <c r="Z10" s="831"/>
      <c r="AA10" s="831"/>
      <c r="AB10" s="831"/>
      <c r="AC10" s="831"/>
      <c r="AD10" s="876"/>
      <c r="AE10" s="1"/>
    </row>
    <row r="11" spans="1:31" ht="15" customHeight="1" x14ac:dyDescent="0.25">
      <c r="B11" s="93" t="s">
        <v>106</v>
      </c>
      <c r="C11" s="143"/>
      <c r="D11" s="143"/>
      <c r="E11" s="94"/>
      <c r="F11" s="95"/>
      <c r="G11" s="96"/>
      <c r="H11" s="96"/>
      <c r="I11" s="96"/>
      <c r="J11" s="96"/>
      <c r="K11" s="96"/>
      <c r="L11" s="96"/>
      <c r="M11" s="96"/>
      <c r="N11" s="96"/>
      <c r="O11" s="96"/>
      <c r="P11" s="97"/>
      <c r="Q11" s="98"/>
      <c r="R11" s="94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1"/>
    </row>
    <row r="12" spans="1:31" ht="40.049999999999997" customHeight="1" x14ac:dyDescent="0.25">
      <c r="A12" s="141" t="s">
        <v>661</v>
      </c>
      <c r="B12" s="104" t="s">
        <v>111</v>
      </c>
      <c r="C12" s="104">
        <f>0.05+E12*(6+3+8+5+4+L12+6+4)</f>
        <v>46.45</v>
      </c>
      <c r="D12" s="104"/>
      <c r="E12" s="100">
        <v>0.8</v>
      </c>
      <c r="F12" s="17">
        <v>2.1</v>
      </c>
      <c r="G12" s="91">
        <v>22</v>
      </c>
      <c r="H12" s="91">
        <v>31</v>
      </c>
      <c r="I12" s="753">
        <v>15</v>
      </c>
      <c r="J12" s="753">
        <v>15</v>
      </c>
      <c r="K12" s="753">
        <v>9</v>
      </c>
      <c r="L12" s="91">
        <v>22</v>
      </c>
      <c r="M12" s="91">
        <v>13</v>
      </c>
      <c r="N12" s="753">
        <v>5</v>
      </c>
      <c r="O12" s="91"/>
      <c r="P12" s="92">
        <f>(E12*F12)*(G12+H12+I12+J12+K12+L12+M12+N12+O12)</f>
        <v>221.76000000000002</v>
      </c>
      <c r="Q12" s="50" t="s">
        <v>7</v>
      </c>
      <c r="R12" s="100">
        <f>(0.4+E12)*(G12+H12+I12+J12+K12+L12+M12+N12+O12)</f>
        <v>158.40000000000003</v>
      </c>
      <c r="S12" s="92">
        <f>2.5*P12</f>
        <v>554.40000000000009</v>
      </c>
      <c r="T12" s="92"/>
      <c r="U12" s="92">
        <f t="shared" ref="U12:AB12" si="0">G12</f>
        <v>22</v>
      </c>
      <c r="V12" s="160">
        <f t="shared" si="0"/>
        <v>31</v>
      </c>
      <c r="W12" s="160">
        <f t="shared" si="0"/>
        <v>15</v>
      </c>
      <c r="X12" s="160">
        <f t="shared" si="0"/>
        <v>15</v>
      </c>
      <c r="Y12" s="160">
        <f t="shared" si="0"/>
        <v>9</v>
      </c>
      <c r="Z12" s="160">
        <f t="shared" si="0"/>
        <v>22</v>
      </c>
      <c r="AA12" s="160">
        <f t="shared" si="0"/>
        <v>13</v>
      </c>
      <c r="AB12" s="160">
        <f t="shared" si="0"/>
        <v>5</v>
      </c>
      <c r="AC12" s="160"/>
      <c r="AD12" s="139">
        <f>SUM(U12:AC12)</f>
        <v>132</v>
      </c>
      <c r="AE12" s="1"/>
    </row>
    <row r="13" spans="1:31" ht="40.049999999999997" customHeight="1" x14ac:dyDescent="0.25">
      <c r="A13" s="743" t="s">
        <v>107</v>
      </c>
      <c r="B13" s="744" t="s">
        <v>847</v>
      </c>
      <c r="C13" s="104"/>
      <c r="D13" s="104"/>
      <c r="E13" s="100">
        <v>0.7</v>
      </c>
      <c r="F13" s="17">
        <v>2.1</v>
      </c>
      <c r="G13" s="91"/>
      <c r="H13" s="91"/>
      <c r="I13" s="456"/>
      <c r="J13" s="456"/>
      <c r="K13" s="456"/>
      <c r="L13" s="91"/>
      <c r="M13" s="91"/>
      <c r="N13" s="751">
        <v>1</v>
      </c>
      <c r="O13" s="91"/>
      <c r="P13" s="92">
        <f>(E13*F13)*(G13+H13+I13+J13+K13+L13+M13+N13+O13)</f>
        <v>1.47</v>
      </c>
      <c r="Q13" s="50" t="s">
        <v>7</v>
      </c>
      <c r="R13" s="100">
        <f>(0.4+E13)*(G13+H13+I13+J13+K13+L13+M13+N13+O13)</f>
        <v>1.1000000000000001</v>
      </c>
      <c r="S13" s="92">
        <f>2.5*P13</f>
        <v>3.6749999999999998</v>
      </c>
      <c r="T13" s="92"/>
      <c r="U13" s="92"/>
      <c r="V13" s="160"/>
      <c r="W13" s="160"/>
      <c r="X13" s="160"/>
      <c r="Y13" s="160"/>
      <c r="Z13" s="160"/>
      <c r="AA13" s="160"/>
      <c r="AB13" s="160">
        <f>N13</f>
        <v>1</v>
      </c>
      <c r="AC13" s="160"/>
      <c r="AD13" s="139">
        <f>SUM(U13:AC13)</f>
        <v>1</v>
      </c>
      <c r="AE13" s="1"/>
    </row>
    <row r="14" spans="1:31" ht="40.049999999999997" customHeight="1" x14ac:dyDescent="0.25">
      <c r="A14" s="141" t="s">
        <v>848</v>
      </c>
      <c r="B14" s="104" t="s">
        <v>736</v>
      </c>
      <c r="C14" s="104"/>
      <c r="D14" s="104"/>
      <c r="E14" s="100">
        <v>1.5</v>
      </c>
      <c r="F14" s="17">
        <v>2.1</v>
      </c>
      <c r="G14" s="91"/>
      <c r="H14" s="91"/>
      <c r="I14" s="91"/>
      <c r="J14" s="91"/>
      <c r="K14" s="91"/>
      <c r="L14" s="91"/>
      <c r="M14" s="91"/>
      <c r="N14" s="751">
        <v>2</v>
      </c>
      <c r="O14" s="91">
        <v>1</v>
      </c>
      <c r="P14" s="92">
        <f t="shared" ref="P14:P38" si="1">(E14*F14)*(G14+H14+I14+J14+K14+L14+M14+N14+O14)</f>
        <v>9.4500000000000011</v>
      </c>
      <c r="Q14" s="50" t="s">
        <v>7</v>
      </c>
      <c r="R14" s="100">
        <f t="shared" ref="R14:R38" si="2">(0.4+E14)*(G14+H14+I14+J14+K14+L14+M14+N14+O14)</f>
        <v>5.6999999999999993</v>
      </c>
      <c r="S14" s="92">
        <f>2.5*P14</f>
        <v>23.625000000000004</v>
      </c>
      <c r="T14" s="92"/>
      <c r="U14" s="92"/>
      <c r="V14" s="160"/>
      <c r="W14" s="160"/>
      <c r="X14" s="160"/>
      <c r="Y14" s="160"/>
      <c r="Z14" s="160"/>
      <c r="AA14" s="160"/>
      <c r="AB14" s="160">
        <f>N14</f>
        <v>2</v>
      </c>
      <c r="AC14" s="160">
        <f>O14</f>
        <v>1</v>
      </c>
      <c r="AD14" s="139">
        <f t="shared" ref="AD14:AD38" si="3">SUM(U14:AC14)</f>
        <v>3</v>
      </c>
      <c r="AE14" s="1"/>
    </row>
    <row r="15" spans="1:31" ht="40.049999999999997" customHeight="1" x14ac:dyDescent="0.25">
      <c r="A15" s="141" t="s">
        <v>661</v>
      </c>
      <c r="B15" s="104" t="s">
        <v>414</v>
      </c>
      <c r="C15" s="104">
        <f>0.05+E15*(G15+I15+J15+K15+L15+M15)</f>
        <v>1.6500000000000001</v>
      </c>
      <c r="D15" s="104"/>
      <c r="E15" s="100">
        <v>0.8</v>
      </c>
      <c r="F15" s="17">
        <v>2.1</v>
      </c>
      <c r="G15" s="91"/>
      <c r="H15" s="91"/>
      <c r="I15" s="91"/>
      <c r="J15" s="91"/>
      <c r="K15" s="753">
        <v>2</v>
      </c>
      <c r="L15" s="91"/>
      <c r="M15" s="91"/>
      <c r="N15" s="91"/>
      <c r="O15" s="91"/>
      <c r="P15" s="92">
        <f t="shared" si="1"/>
        <v>3.3600000000000003</v>
      </c>
      <c r="Q15" s="50" t="s">
        <v>7</v>
      </c>
      <c r="R15" s="100">
        <f t="shared" si="2"/>
        <v>2.4000000000000004</v>
      </c>
      <c r="S15" s="92">
        <f>2.5*P15</f>
        <v>8.4</v>
      </c>
      <c r="T15" s="92"/>
      <c r="U15" s="92"/>
      <c r="V15" s="160"/>
      <c r="W15" s="160"/>
      <c r="X15" s="160"/>
      <c r="Y15" s="160">
        <f>K15</f>
        <v>2</v>
      </c>
      <c r="Z15" s="160"/>
      <c r="AA15" s="160"/>
      <c r="AB15" s="160"/>
      <c r="AC15" s="160"/>
      <c r="AD15" s="139">
        <f t="shared" si="3"/>
        <v>2</v>
      </c>
      <c r="AE15" s="1"/>
    </row>
    <row r="16" spans="1:31" ht="40.049999999999997" customHeight="1" x14ac:dyDescent="0.25">
      <c r="A16" s="141" t="s">
        <v>662</v>
      </c>
      <c r="B16" s="104" t="s">
        <v>112</v>
      </c>
      <c r="C16" s="104">
        <f>0.05+E16*(10+5+I16+1+1+1+2)</f>
        <v>20.75</v>
      </c>
      <c r="D16" s="104"/>
      <c r="E16" s="100">
        <v>0.9</v>
      </c>
      <c r="F16" s="17">
        <v>2.1</v>
      </c>
      <c r="G16" s="91">
        <v>16</v>
      </c>
      <c r="H16" s="91">
        <v>9</v>
      </c>
      <c r="I16" s="91">
        <v>3</v>
      </c>
      <c r="J16" s="753">
        <v>3</v>
      </c>
      <c r="K16" s="91">
        <v>9</v>
      </c>
      <c r="L16" s="91">
        <v>3</v>
      </c>
      <c r="M16" s="753">
        <v>5</v>
      </c>
      <c r="N16" s="91">
        <v>2</v>
      </c>
      <c r="O16" s="91"/>
      <c r="P16" s="92">
        <f t="shared" si="1"/>
        <v>94.5</v>
      </c>
      <c r="Q16" s="50" t="s">
        <v>7</v>
      </c>
      <c r="R16" s="100">
        <f t="shared" si="2"/>
        <v>65</v>
      </c>
      <c r="S16" s="92">
        <f t="shared" ref="S16:S36" si="4">2.5*P16</f>
        <v>236.25</v>
      </c>
      <c r="T16" s="92"/>
      <c r="U16" s="92">
        <f t="shared" ref="U16:X17" si="5">G16</f>
        <v>16</v>
      </c>
      <c r="V16" s="160">
        <f t="shared" si="5"/>
        <v>9</v>
      </c>
      <c r="W16" s="160">
        <f t="shared" si="5"/>
        <v>3</v>
      </c>
      <c r="X16" s="160">
        <f t="shared" si="5"/>
        <v>3</v>
      </c>
      <c r="Y16" s="160">
        <f>K16</f>
        <v>9</v>
      </c>
      <c r="Z16" s="160">
        <f>L16</f>
        <v>3</v>
      </c>
      <c r="AA16" s="160">
        <f>M16</f>
        <v>5</v>
      </c>
      <c r="AB16" s="160">
        <f>N16</f>
        <v>2</v>
      </c>
      <c r="AC16" s="160"/>
      <c r="AD16" s="139">
        <f t="shared" si="3"/>
        <v>50</v>
      </c>
      <c r="AE16" s="1"/>
    </row>
    <row r="17" spans="1:31" ht="40.049999999999997" customHeight="1" x14ac:dyDescent="0.25">
      <c r="A17" s="141" t="s">
        <v>663</v>
      </c>
      <c r="B17" s="104" t="s">
        <v>113</v>
      </c>
      <c r="C17" s="104">
        <f>0.05+E17*(G17+I17+J17+10+L17+M17)</f>
        <v>44.15</v>
      </c>
      <c r="D17" s="104"/>
      <c r="E17" s="100">
        <v>0.9</v>
      </c>
      <c r="F17" s="17">
        <v>2.1</v>
      </c>
      <c r="G17" s="91">
        <v>4</v>
      </c>
      <c r="H17" s="91">
        <v>1</v>
      </c>
      <c r="I17" s="91">
        <v>1</v>
      </c>
      <c r="J17" s="753">
        <v>11</v>
      </c>
      <c r="K17" s="91">
        <v>11</v>
      </c>
      <c r="L17" s="91">
        <v>12</v>
      </c>
      <c r="M17" s="91">
        <v>11</v>
      </c>
      <c r="N17" s="91"/>
      <c r="O17" s="91"/>
      <c r="P17" s="92">
        <f t="shared" si="1"/>
        <v>96.39</v>
      </c>
      <c r="Q17" s="50" t="s">
        <v>7</v>
      </c>
      <c r="R17" s="100">
        <f t="shared" si="2"/>
        <v>66.3</v>
      </c>
      <c r="S17" s="92">
        <f t="shared" si="4"/>
        <v>240.97499999999999</v>
      </c>
      <c r="T17" s="92"/>
      <c r="U17" s="92">
        <f t="shared" si="5"/>
        <v>4</v>
      </c>
      <c r="V17" s="160">
        <f t="shared" si="5"/>
        <v>1</v>
      </c>
      <c r="W17" s="160">
        <f t="shared" si="5"/>
        <v>1</v>
      </c>
      <c r="X17" s="160">
        <f t="shared" si="5"/>
        <v>11</v>
      </c>
      <c r="Y17" s="160">
        <f>K17</f>
        <v>11</v>
      </c>
      <c r="Z17" s="160">
        <f>L17</f>
        <v>12</v>
      </c>
      <c r="AA17" s="160">
        <f>M17</f>
        <v>11</v>
      </c>
      <c r="AB17" s="160"/>
      <c r="AC17" s="160"/>
      <c r="AD17" s="139">
        <f t="shared" si="3"/>
        <v>51</v>
      </c>
      <c r="AE17" s="1"/>
    </row>
    <row r="18" spans="1:31" ht="40.049999999999997" customHeight="1" x14ac:dyDescent="0.25">
      <c r="A18" s="141" t="s">
        <v>108</v>
      </c>
      <c r="B18" s="104" t="s">
        <v>417</v>
      </c>
      <c r="C18" s="104"/>
      <c r="D18" s="104"/>
      <c r="E18" s="100">
        <v>0.9</v>
      </c>
      <c r="F18" s="17">
        <v>2.1</v>
      </c>
      <c r="G18" s="91"/>
      <c r="H18" s="91"/>
      <c r="I18" s="91"/>
      <c r="J18" s="91"/>
      <c r="K18" s="91"/>
      <c r="L18" s="753">
        <v>2</v>
      </c>
      <c r="M18" s="91"/>
      <c r="N18" s="91"/>
      <c r="O18" s="91"/>
      <c r="P18" s="92">
        <f t="shared" si="1"/>
        <v>3.7800000000000002</v>
      </c>
      <c r="Q18" s="50" t="s">
        <v>7</v>
      </c>
      <c r="R18" s="100">
        <f t="shared" si="2"/>
        <v>2.6</v>
      </c>
      <c r="S18" s="92">
        <f t="shared" ref="S18:S19" si="6">2.5*P18</f>
        <v>9.4500000000000011</v>
      </c>
      <c r="T18" s="92"/>
      <c r="U18" s="92"/>
      <c r="V18" s="160"/>
      <c r="W18" s="160"/>
      <c r="X18" s="160"/>
      <c r="Y18" s="160"/>
      <c r="Z18" s="160">
        <f>L18</f>
        <v>2</v>
      </c>
      <c r="AA18" s="160"/>
      <c r="AB18" s="160"/>
      <c r="AC18" s="160"/>
      <c r="AD18" s="139">
        <f t="shared" si="3"/>
        <v>2</v>
      </c>
      <c r="AE18" s="1"/>
    </row>
    <row r="19" spans="1:31" ht="40.049999999999997" customHeight="1" x14ac:dyDescent="0.25">
      <c r="A19" s="141" t="s">
        <v>108</v>
      </c>
      <c r="B19" s="104" t="s">
        <v>845</v>
      </c>
      <c r="C19" s="104"/>
      <c r="D19" s="104"/>
      <c r="E19" s="100">
        <v>0.9</v>
      </c>
      <c r="F19" s="17">
        <v>2.1</v>
      </c>
      <c r="G19" s="91"/>
      <c r="H19" s="91"/>
      <c r="I19" s="91"/>
      <c r="J19" s="91"/>
      <c r="K19" s="91"/>
      <c r="L19" s="751">
        <v>1</v>
      </c>
      <c r="M19" s="91"/>
      <c r="N19" s="91"/>
      <c r="O19" s="91"/>
      <c r="P19" s="92">
        <f t="shared" si="1"/>
        <v>1.8900000000000001</v>
      </c>
      <c r="Q19" s="50" t="s">
        <v>7</v>
      </c>
      <c r="R19" s="100">
        <f t="shared" si="2"/>
        <v>1.3</v>
      </c>
      <c r="S19" s="92">
        <f t="shared" si="6"/>
        <v>4.7250000000000005</v>
      </c>
      <c r="T19" s="92"/>
      <c r="U19" s="92"/>
      <c r="V19" s="160"/>
      <c r="W19" s="160"/>
      <c r="X19" s="160"/>
      <c r="Y19" s="160"/>
      <c r="Z19" s="160">
        <f>L19</f>
        <v>1</v>
      </c>
      <c r="AA19" s="160"/>
      <c r="AB19" s="160"/>
      <c r="AC19" s="160"/>
      <c r="AD19" s="139">
        <f t="shared" si="3"/>
        <v>1</v>
      </c>
      <c r="AE19" s="1"/>
    </row>
    <row r="20" spans="1:31" ht="40.049999999999997" customHeight="1" x14ac:dyDescent="0.25">
      <c r="A20" s="141" t="s">
        <v>659</v>
      </c>
      <c r="B20" s="104" t="s">
        <v>114</v>
      </c>
      <c r="C20" s="104"/>
      <c r="D20" s="104"/>
      <c r="E20" s="100">
        <v>1.1000000000000001</v>
      </c>
      <c r="F20" s="17">
        <v>2.1</v>
      </c>
      <c r="G20" s="91">
        <v>5</v>
      </c>
      <c r="H20" s="91">
        <v>3</v>
      </c>
      <c r="I20" s="91"/>
      <c r="J20" s="91"/>
      <c r="K20" s="91">
        <v>18</v>
      </c>
      <c r="L20" s="91"/>
      <c r="M20" s="91"/>
      <c r="N20" s="91"/>
      <c r="O20" s="91"/>
      <c r="P20" s="92">
        <f t="shared" si="1"/>
        <v>60.060000000000016</v>
      </c>
      <c r="Q20" s="50" t="s">
        <v>7</v>
      </c>
      <c r="R20" s="100">
        <f t="shared" si="2"/>
        <v>39</v>
      </c>
      <c r="S20" s="92">
        <f t="shared" si="4"/>
        <v>150.15000000000003</v>
      </c>
      <c r="T20" s="92"/>
      <c r="U20" s="92">
        <f>G20</f>
        <v>5</v>
      </c>
      <c r="V20" s="160">
        <f>H20</f>
        <v>3</v>
      </c>
      <c r="W20" s="160"/>
      <c r="X20" s="160"/>
      <c r="Y20" s="160">
        <f>K20</f>
        <v>18</v>
      </c>
      <c r="Z20" s="160"/>
      <c r="AA20" s="160"/>
      <c r="AB20" s="160"/>
      <c r="AC20" s="160"/>
      <c r="AD20" s="139">
        <f t="shared" si="3"/>
        <v>26</v>
      </c>
      <c r="AE20" s="1"/>
    </row>
    <row r="21" spans="1:31" ht="40.049999999999997" customHeight="1" x14ac:dyDescent="0.25">
      <c r="A21" s="141" t="s">
        <v>402</v>
      </c>
      <c r="B21" s="104" t="s">
        <v>664</v>
      </c>
      <c r="C21" s="104"/>
      <c r="D21" s="104"/>
      <c r="E21" s="100">
        <v>1.1000000000000001</v>
      </c>
      <c r="F21" s="17">
        <v>2.1</v>
      </c>
      <c r="G21" s="91"/>
      <c r="H21" s="91"/>
      <c r="I21" s="91"/>
      <c r="J21" s="91"/>
      <c r="K21" s="91"/>
      <c r="L21" s="91">
        <v>1</v>
      </c>
      <c r="M21" s="91"/>
      <c r="N21" s="91"/>
      <c r="O21" s="91"/>
      <c r="P21" s="92">
        <f t="shared" si="1"/>
        <v>2.3100000000000005</v>
      </c>
      <c r="Q21" s="50" t="s">
        <v>7</v>
      </c>
      <c r="R21" s="100">
        <f t="shared" si="2"/>
        <v>1.5</v>
      </c>
      <c r="S21" s="92">
        <f t="shared" si="4"/>
        <v>5.7750000000000012</v>
      </c>
      <c r="T21" s="92"/>
      <c r="U21" s="92"/>
      <c r="V21" s="160"/>
      <c r="W21" s="160"/>
      <c r="X21" s="160"/>
      <c r="Y21" s="160"/>
      <c r="Z21" s="160">
        <f>L21</f>
        <v>1</v>
      </c>
      <c r="AA21" s="160"/>
      <c r="AB21" s="160"/>
      <c r="AC21" s="160"/>
      <c r="AD21" s="139">
        <f t="shared" si="3"/>
        <v>1</v>
      </c>
      <c r="AE21" s="1"/>
    </row>
    <row r="22" spans="1:31" ht="40.049999999999997" customHeight="1" x14ac:dyDescent="0.25">
      <c r="A22" s="141" t="s">
        <v>108</v>
      </c>
      <c r="B22" s="104" t="s">
        <v>404</v>
      </c>
      <c r="C22" s="104"/>
      <c r="D22" s="104"/>
      <c r="E22" s="100">
        <v>1</v>
      </c>
      <c r="F22" s="17">
        <v>2.1</v>
      </c>
      <c r="G22" s="91"/>
      <c r="H22" s="91"/>
      <c r="I22" s="91">
        <v>2</v>
      </c>
      <c r="J22" s="91"/>
      <c r="K22" s="91"/>
      <c r="L22" s="91"/>
      <c r="M22" s="91"/>
      <c r="N22" s="91"/>
      <c r="O22" s="91"/>
      <c r="P22" s="92">
        <f t="shared" si="1"/>
        <v>4.2</v>
      </c>
      <c r="Q22" s="50" t="s">
        <v>7</v>
      </c>
      <c r="R22" s="100">
        <f t="shared" si="2"/>
        <v>2.8</v>
      </c>
      <c r="S22" s="92">
        <f t="shared" si="4"/>
        <v>10.5</v>
      </c>
      <c r="T22" s="92"/>
      <c r="U22" s="92"/>
      <c r="V22" s="160"/>
      <c r="W22" s="160">
        <f>I22</f>
        <v>2</v>
      </c>
      <c r="X22" s="160"/>
      <c r="Y22" s="160"/>
      <c r="Z22" s="160"/>
      <c r="AA22" s="160"/>
      <c r="AB22" s="160"/>
      <c r="AC22" s="160"/>
      <c r="AD22" s="139">
        <f t="shared" si="3"/>
        <v>2</v>
      </c>
      <c r="AE22" s="1"/>
    </row>
    <row r="23" spans="1:31" ht="40.049999999999997" customHeight="1" x14ac:dyDescent="0.25">
      <c r="A23" s="141" t="s">
        <v>659</v>
      </c>
      <c r="B23" s="104" t="s">
        <v>652</v>
      </c>
      <c r="C23" s="104"/>
      <c r="D23" s="104"/>
      <c r="E23" s="100">
        <v>1.2</v>
      </c>
      <c r="F23" s="17">
        <v>2.1</v>
      </c>
      <c r="G23" s="91">
        <v>1</v>
      </c>
      <c r="H23" s="91"/>
      <c r="I23" s="91"/>
      <c r="J23" s="91">
        <v>12</v>
      </c>
      <c r="K23" s="91"/>
      <c r="L23" s="91"/>
      <c r="M23" s="91">
        <v>12</v>
      </c>
      <c r="N23" s="91"/>
      <c r="O23" s="91"/>
      <c r="P23" s="92">
        <f t="shared" si="1"/>
        <v>63</v>
      </c>
      <c r="Q23" s="50" t="s">
        <v>7</v>
      </c>
      <c r="R23" s="100">
        <f t="shared" si="2"/>
        <v>40</v>
      </c>
      <c r="S23" s="92">
        <f t="shared" si="4"/>
        <v>157.5</v>
      </c>
      <c r="T23" s="92"/>
      <c r="U23" s="92">
        <f>G23</f>
        <v>1</v>
      </c>
      <c r="V23" s="160"/>
      <c r="W23" s="160"/>
      <c r="X23" s="160">
        <f>J23</f>
        <v>12</v>
      </c>
      <c r="Y23" s="160"/>
      <c r="Z23" s="160"/>
      <c r="AA23" s="160">
        <f>M23</f>
        <v>12</v>
      </c>
      <c r="AB23" s="160"/>
      <c r="AC23" s="160"/>
      <c r="AD23" s="139">
        <f t="shared" si="3"/>
        <v>25</v>
      </c>
      <c r="AE23" s="1"/>
    </row>
    <row r="24" spans="1:31" ht="40.049999999999997" customHeight="1" x14ac:dyDescent="0.25">
      <c r="A24" s="141" t="s">
        <v>402</v>
      </c>
      <c r="B24" s="104" t="s">
        <v>416</v>
      </c>
      <c r="C24" s="104"/>
      <c r="D24" s="104"/>
      <c r="E24" s="100">
        <v>1.3</v>
      </c>
      <c r="F24" s="17">
        <v>2.1</v>
      </c>
      <c r="G24" s="91"/>
      <c r="H24" s="91">
        <v>2</v>
      </c>
      <c r="I24" s="91">
        <v>1</v>
      </c>
      <c r="J24" s="91">
        <v>2</v>
      </c>
      <c r="K24" s="91">
        <v>2</v>
      </c>
      <c r="L24" s="91"/>
      <c r="M24" s="91"/>
      <c r="N24" s="91"/>
      <c r="O24" s="91"/>
      <c r="P24" s="92">
        <f t="shared" si="1"/>
        <v>19.110000000000003</v>
      </c>
      <c r="Q24" s="50" t="s">
        <v>7</v>
      </c>
      <c r="R24" s="100">
        <f t="shared" si="2"/>
        <v>11.900000000000002</v>
      </c>
      <c r="S24" s="92">
        <f t="shared" si="4"/>
        <v>47.775000000000006</v>
      </c>
      <c r="T24" s="92"/>
      <c r="U24" s="92"/>
      <c r="V24" s="160">
        <f>H24</f>
        <v>2</v>
      </c>
      <c r="W24" s="160">
        <f>I24</f>
        <v>1</v>
      </c>
      <c r="X24" s="160">
        <f>J24</f>
        <v>2</v>
      </c>
      <c r="Y24" s="160">
        <f>K24</f>
        <v>2</v>
      </c>
      <c r="Z24" s="160"/>
      <c r="AA24" s="160"/>
      <c r="AB24" s="160"/>
      <c r="AC24" s="160"/>
      <c r="AD24" s="139">
        <f t="shared" si="3"/>
        <v>7</v>
      </c>
      <c r="AE24" s="1"/>
    </row>
    <row r="25" spans="1:31" ht="40.049999999999997" customHeight="1" x14ac:dyDescent="0.25">
      <c r="A25" s="743" t="s">
        <v>849</v>
      </c>
      <c r="B25" s="744" t="s">
        <v>850</v>
      </c>
      <c r="C25" s="104"/>
      <c r="D25" s="104"/>
      <c r="E25" s="100">
        <v>1.6</v>
      </c>
      <c r="F25" s="17">
        <v>2.1</v>
      </c>
      <c r="G25" s="91"/>
      <c r="H25" s="91"/>
      <c r="I25" s="91"/>
      <c r="J25" s="91"/>
      <c r="K25" s="91"/>
      <c r="L25" s="91"/>
      <c r="M25" s="91"/>
      <c r="N25" s="751">
        <v>5</v>
      </c>
      <c r="O25" s="91"/>
      <c r="P25" s="92">
        <f t="shared" ref="P25" si="7">(E25*F25)*(G25+H25+I25+J25+K25+L25+M25+N25+O25)</f>
        <v>16.8</v>
      </c>
      <c r="Q25" s="50" t="s">
        <v>7</v>
      </c>
      <c r="R25" s="100">
        <f t="shared" ref="R25" si="8">(0.4+E25)*(G25+H25+I25+J25+K25+L25+M25+N25+O25)</f>
        <v>10</v>
      </c>
      <c r="S25" s="92">
        <f t="shared" ref="S25" si="9">2.5*P25</f>
        <v>42</v>
      </c>
      <c r="T25" s="92"/>
      <c r="U25" s="92"/>
      <c r="V25" s="160"/>
      <c r="W25" s="160"/>
      <c r="X25" s="160"/>
      <c r="Y25" s="160"/>
      <c r="Z25" s="160"/>
      <c r="AA25" s="160"/>
      <c r="AB25" s="160">
        <f>N25</f>
        <v>5</v>
      </c>
      <c r="AC25" s="160"/>
      <c r="AD25" s="139">
        <f t="shared" si="3"/>
        <v>5</v>
      </c>
      <c r="AE25" s="1"/>
    </row>
    <row r="26" spans="1:31" ht="40.049999999999997" customHeight="1" x14ac:dyDescent="0.25">
      <c r="A26" s="141" t="s">
        <v>109</v>
      </c>
      <c r="B26" s="104" t="s">
        <v>651</v>
      </c>
      <c r="C26" s="104"/>
      <c r="D26" s="104"/>
      <c r="E26" s="100">
        <v>1.6</v>
      </c>
      <c r="F26" s="17">
        <v>2.1</v>
      </c>
      <c r="G26" s="751">
        <v>1</v>
      </c>
      <c r="H26" s="91"/>
      <c r="I26" s="91">
        <v>1</v>
      </c>
      <c r="J26" s="91"/>
      <c r="K26" s="91"/>
      <c r="L26" s="91"/>
      <c r="M26" s="91"/>
      <c r="N26" s="91"/>
      <c r="O26" s="91"/>
      <c r="P26" s="92">
        <f t="shared" si="1"/>
        <v>6.7200000000000006</v>
      </c>
      <c r="Q26" s="50" t="s">
        <v>7</v>
      </c>
      <c r="R26" s="100">
        <f t="shared" si="2"/>
        <v>4</v>
      </c>
      <c r="S26" s="92">
        <f t="shared" si="4"/>
        <v>16.8</v>
      </c>
      <c r="T26" s="92"/>
      <c r="U26" s="92">
        <f>G26</f>
        <v>1</v>
      </c>
      <c r="V26" s="160"/>
      <c r="W26" s="160">
        <f>I26</f>
        <v>1</v>
      </c>
      <c r="X26" s="160"/>
      <c r="Y26" s="160"/>
      <c r="Z26" s="160"/>
      <c r="AA26" s="160"/>
      <c r="AB26" s="160"/>
      <c r="AC26" s="160"/>
      <c r="AD26" s="139">
        <f t="shared" si="3"/>
        <v>2</v>
      </c>
      <c r="AE26" s="1"/>
    </row>
    <row r="27" spans="1:31" ht="40.049999999999997" customHeight="1" x14ac:dyDescent="0.25">
      <c r="A27" s="743" t="s">
        <v>109</v>
      </c>
      <c r="B27" s="744" t="s">
        <v>665</v>
      </c>
      <c r="C27" s="104"/>
      <c r="D27" s="104"/>
      <c r="E27" s="746">
        <v>1.6</v>
      </c>
      <c r="F27" s="747">
        <v>2.1</v>
      </c>
      <c r="G27" s="456"/>
      <c r="H27" s="751">
        <v>1</v>
      </c>
      <c r="I27" s="751">
        <v>1</v>
      </c>
      <c r="J27" s="91"/>
      <c r="K27" s="91"/>
      <c r="L27" s="91"/>
      <c r="M27" s="91"/>
      <c r="N27" s="91"/>
      <c r="O27" s="91"/>
      <c r="P27" s="92">
        <f t="shared" ref="P27" si="10">(E27*F27)*(G27+H27+I27+J27+K27+L27+M27+N27+O27)</f>
        <v>6.7200000000000006</v>
      </c>
      <c r="Q27" s="50" t="s">
        <v>7</v>
      </c>
      <c r="R27" s="100">
        <f t="shared" ref="R27" si="11">(0.4+E27)*(G27+H27+I27+J27+K27+L27+M27+N27+O27)</f>
        <v>4</v>
      </c>
      <c r="S27" s="92">
        <f t="shared" ref="S27" si="12">2.5*P27</f>
        <v>16.8</v>
      </c>
      <c r="T27" s="92"/>
      <c r="U27" s="92"/>
      <c r="V27" s="160"/>
      <c r="W27" s="160">
        <f>I27</f>
        <v>1</v>
      </c>
      <c r="X27" s="160"/>
      <c r="Y27" s="160"/>
      <c r="Z27" s="160"/>
      <c r="AA27" s="160"/>
      <c r="AB27" s="160"/>
      <c r="AC27" s="160"/>
      <c r="AD27" s="139">
        <f t="shared" si="3"/>
        <v>1</v>
      </c>
      <c r="AE27" s="1"/>
    </row>
    <row r="28" spans="1:31" ht="40.049999999999997" customHeight="1" x14ac:dyDescent="0.25">
      <c r="A28" s="141" t="s">
        <v>109</v>
      </c>
      <c r="B28" s="104" t="s">
        <v>647</v>
      </c>
      <c r="C28" s="104"/>
      <c r="D28" s="104"/>
      <c r="E28" s="100">
        <v>1.3</v>
      </c>
      <c r="F28" s="17">
        <v>2.1</v>
      </c>
      <c r="G28" s="91"/>
      <c r="H28" s="91"/>
      <c r="I28" s="91"/>
      <c r="J28" s="91"/>
      <c r="K28" s="91"/>
      <c r="L28" s="91"/>
      <c r="M28" s="91"/>
      <c r="N28" s="91">
        <v>1</v>
      </c>
      <c r="O28" s="91"/>
      <c r="P28" s="92">
        <f t="shared" si="1"/>
        <v>2.7300000000000004</v>
      </c>
      <c r="Q28" s="50" t="s">
        <v>7</v>
      </c>
      <c r="R28" s="100">
        <f t="shared" si="2"/>
        <v>1.7000000000000002</v>
      </c>
      <c r="S28" s="92">
        <f t="shared" si="4"/>
        <v>6.8250000000000011</v>
      </c>
      <c r="T28" s="92"/>
      <c r="U28" s="92"/>
      <c r="V28" s="160"/>
      <c r="W28" s="160"/>
      <c r="X28" s="160"/>
      <c r="Y28" s="160"/>
      <c r="Z28" s="160"/>
      <c r="AA28" s="160"/>
      <c r="AB28" s="160">
        <f>N28</f>
        <v>1</v>
      </c>
      <c r="AC28" s="160"/>
      <c r="AD28" s="139">
        <f t="shared" si="3"/>
        <v>1</v>
      </c>
      <c r="AE28" s="1"/>
    </row>
    <row r="29" spans="1:31" ht="40.049999999999997" customHeight="1" x14ac:dyDescent="0.25">
      <c r="A29" s="141" t="s">
        <v>403</v>
      </c>
      <c r="B29" s="104" t="s">
        <v>656</v>
      </c>
      <c r="C29" s="104">
        <f t="shared" ref="C29" si="13">0.05+E29*(G29+H29+I29+J29+K29+L29+M29)</f>
        <v>5.25</v>
      </c>
      <c r="D29" s="104"/>
      <c r="E29" s="754">
        <v>1.3</v>
      </c>
      <c r="F29" s="214">
        <v>2.1</v>
      </c>
      <c r="G29" s="456">
        <v>1</v>
      </c>
      <c r="H29" s="91"/>
      <c r="I29" s="91"/>
      <c r="J29" s="91"/>
      <c r="K29" s="91">
        <v>2</v>
      </c>
      <c r="L29" s="91">
        <v>1</v>
      </c>
      <c r="M29" s="91"/>
      <c r="N29" s="91"/>
      <c r="O29" s="91"/>
      <c r="P29" s="92">
        <f t="shared" si="1"/>
        <v>10.920000000000002</v>
      </c>
      <c r="Q29" s="50" t="s">
        <v>7</v>
      </c>
      <c r="R29" s="100">
        <f t="shared" si="2"/>
        <v>6.8000000000000007</v>
      </c>
      <c r="S29" s="92">
        <f t="shared" si="4"/>
        <v>27.300000000000004</v>
      </c>
      <c r="T29" s="92"/>
      <c r="U29" s="92">
        <f>G29</f>
        <v>1</v>
      </c>
      <c r="V29" s="160"/>
      <c r="W29" s="160"/>
      <c r="X29" s="160"/>
      <c r="Y29" s="160">
        <f t="shared" ref="Y29:Z31" si="14">K29</f>
        <v>2</v>
      </c>
      <c r="Z29" s="160">
        <f t="shared" si="14"/>
        <v>1</v>
      </c>
      <c r="AA29" s="160"/>
      <c r="AB29" s="160"/>
      <c r="AC29" s="160"/>
      <c r="AD29" s="139">
        <f t="shared" si="3"/>
        <v>4</v>
      </c>
      <c r="AE29" s="1"/>
    </row>
    <row r="30" spans="1:31" ht="40.049999999999997" customHeight="1" x14ac:dyDescent="0.25">
      <c r="A30" s="141" t="s">
        <v>403</v>
      </c>
      <c r="B30" s="104" t="s">
        <v>657</v>
      </c>
      <c r="C30" s="104">
        <f>0.05+E30*(1+H30+I30+J30+M30)</f>
        <v>6.45</v>
      </c>
      <c r="D30" s="104"/>
      <c r="E30" s="100">
        <v>1.6</v>
      </c>
      <c r="F30" s="17">
        <v>2.1</v>
      </c>
      <c r="G30" s="753">
        <v>2</v>
      </c>
      <c r="H30" s="91">
        <v>1</v>
      </c>
      <c r="I30" s="91"/>
      <c r="J30" s="91"/>
      <c r="K30" s="91">
        <v>1</v>
      </c>
      <c r="L30" s="91">
        <v>1</v>
      </c>
      <c r="M30" s="91">
        <v>2</v>
      </c>
      <c r="N30" s="91"/>
      <c r="O30" s="91"/>
      <c r="P30" s="92">
        <f t="shared" si="1"/>
        <v>23.520000000000003</v>
      </c>
      <c r="Q30" s="50" t="s">
        <v>7</v>
      </c>
      <c r="R30" s="100">
        <f t="shared" si="2"/>
        <v>14</v>
      </c>
      <c r="S30" s="92">
        <f t="shared" si="4"/>
        <v>58.800000000000011</v>
      </c>
      <c r="T30" s="92"/>
      <c r="U30" s="92">
        <f>G30</f>
        <v>2</v>
      </c>
      <c r="V30" s="160">
        <f>H30</f>
        <v>1</v>
      </c>
      <c r="W30" s="160"/>
      <c r="X30" s="160"/>
      <c r="Y30" s="160">
        <f t="shared" si="14"/>
        <v>1</v>
      </c>
      <c r="Z30" s="160">
        <f t="shared" si="14"/>
        <v>1</v>
      </c>
      <c r="AA30" s="160">
        <f>M30</f>
        <v>2</v>
      </c>
      <c r="AB30" s="160"/>
      <c r="AC30" s="160"/>
      <c r="AD30" s="139">
        <f t="shared" si="3"/>
        <v>7</v>
      </c>
      <c r="AE30" s="1"/>
    </row>
    <row r="31" spans="1:31" ht="40.049999999999997" customHeight="1" x14ac:dyDescent="0.25">
      <c r="A31" s="141" t="s">
        <v>110</v>
      </c>
      <c r="B31" s="104" t="s">
        <v>653</v>
      </c>
      <c r="C31" s="104">
        <f>0.05+E31*(G31+H31+I31+J31+M31)</f>
        <v>16.05</v>
      </c>
      <c r="D31" s="104"/>
      <c r="E31" s="100">
        <v>1.6</v>
      </c>
      <c r="F31" s="17">
        <v>2.1</v>
      </c>
      <c r="G31" s="91">
        <v>8</v>
      </c>
      <c r="H31" s="91">
        <v>1</v>
      </c>
      <c r="I31" s="91">
        <v>1</v>
      </c>
      <c r="J31" s="91"/>
      <c r="K31" s="753">
        <v>1</v>
      </c>
      <c r="L31" s="91">
        <v>1</v>
      </c>
      <c r="M31" s="91"/>
      <c r="N31" s="91"/>
      <c r="O31" s="91"/>
      <c r="P31" s="92">
        <f t="shared" si="1"/>
        <v>40.320000000000007</v>
      </c>
      <c r="Q31" s="50" t="s">
        <v>7</v>
      </c>
      <c r="R31" s="100">
        <f t="shared" si="2"/>
        <v>24</v>
      </c>
      <c r="S31" s="92">
        <f t="shared" si="4"/>
        <v>100.80000000000001</v>
      </c>
      <c r="T31" s="92"/>
      <c r="U31" s="92">
        <f>G31</f>
        <v>8</v>
      </c>
      <c r="V31" s="160">
        <f>H31</f>
        <v>1</v>
      </c>
      <c r="W31" s="160">
        <f>I31</f>
        <v>1</v>
      </c>
      <c r="X31" s="160"/>
      <c r="Y31" s="160">
        <f t="shared" si="14"/>
        <v>1</v>
      </c>
      <c r="Z31" s="160">
        <f t="shared" si="14"/>
        <v>1</v>
      </c>
      <c r="AA31" s="160"/>
      <c r="AB31" s="160"/>
      <c r="AC31" s="160"/>
      <c r="AD31" s="139">
        <f t="shared" si="3"/>
        <v>12</v>
      </c>
      <c r="AE31" s="1"/>
    </row>
    <row r="32" spans="1:31" ht="40.049999999999997" customHeight="1" x14ac:dyDescent="0.25">
      <c r="A32" s="141" t="s">
        <v>654</v>
      </c>
      <c r="B32" s="104" t="s">
        <v>655</v>
      </c>
      <c r="C32" s="104"/>
      <c r="D32" s="104"/>
      <c r="E32" s="754">
        <v>1.6</v>
      </c>
      <c r="F32" s="214">
        <v>2.1</v>
      </c>
      <c r="G32" s="456">
        <v>2</v>
      </c>
      <c r="H32" s="91"/>
      <c r="I32" s="91"/>
      <c r="J32" s="91"/>
      <c r="K32" s="91">
        <v>1</v>
      </c>
      <c r="L32" s="91"/>
      <c r="M32" s="91"/>
      <c r="N32" s="91"/>
      <c r="O32" s="91"/>
      <c r="P32" s="92">
        <f t="shared" si="1"/>
        <v>10.080000000000002</v>
      </c>
      <c r="Q32" s="50" t="s">
        <v>7</v>
      </c>
      <c r="R32" s="100">
        <f t="shared" si="2"/>
        <v>6</v>
      </c>
      <c r="S32" s="92">
        <f t="shared" si="4"/>
        <v>25.200000000000003</v>
      </c>
      <c r="T32" s="92"/>
      <c r="U32" s="92">
        <f>G32</f>
        <v>2</v>
      </c>
      <c r="V32" s="160"/>
      <c r="W32" s="160"/>
      <c r="X32" s="160"/>
      <c r="Y32" s="160">
        <f>K32</f>
        <v>1</v>
      </c>
      <c r="Z32" s="160"/>
      <c r="AA32" s="160"/>
      <c r="AB32" s="160"/>
      <c r="AC32" s="160"/>
      <c r="AD32" s="139">
        <f t="shared" si="3"/>
        <v>3</v>
      </c>
      <c r="AE32" s="1"/>
    </row>
    <row r="33" spans="1:31" ht="40.049999999999997" customHeight="1" x14ac:dyDescent="0.25">
      <c r="A33" s="141" t="s">
        <v>110</v>
      </c>
      <c r="B33" s="104" t="s">
        <v>665</v>
      </c>
      <c r="C33" s="104"/>
      <c r="D33" s="104"/>
      <c r="E33" s="100">
        <v>1.6</v>
      </c>
      <c r="F33" s="17">
        <v>2.1</v>
      </c>
      <c r="G33" s="91"/>
      <c r="H33" s="91"/>
      <c r="I33" s="91"/>
      <c r="J33" s="91"/>
      <c r="K33" s="91"/>
      <c r="L33" s="91">
        <v>1</v>
      </c>
      <c r="M33" s="91"/>
      <c r="N33" s="91"/>
      <c r="O33" s="91"/>
      <c r="P33" s="92">
        <f t="shared" si="1"/>
        <v>3.3600000000000003</v>
      </c>
      <c r="Q33" s="50" t="s">
        <v>7</v>
      </c>
      <c r="R33" s="100">
        <f t="shared" si="2"/>
        <v>2</v>
      </c>
      <c r="S33" s="92">
        <f t="shared" si="4"/>
        <v>8.4</v>
      </c>
      <c r="T33" s="92"/>
      <c r="U33" s="92"/>
      <c r="V33" s="160"/>
      <c r="W33" s="160"/>
      <c r="X33" s="160"/>
      <c r="Y33" s="160"/>
      <c r="Z33" s="160">
        <f>L33</f>
        <v>1</v>
      </c>
      <c r="AA33" s="160"/>
      <c r="AB33" s="160"/>
      <c r="AC33" s="160"/>
      <c r="AD33" s="139">
        <f t="shared" si="3"/>
        <v>1</v>
      </c>
      <c r="AE33" s="1"/>
    </row>
    <row r="34" spans="1:31" ht="40.049999999999997" customHeight="1" x14ac:dyDescent="0.25">
      <c r="A34" s="141" t="s">
        <v>110</v>
      </c>
      <c r="B34" s="104" t="s">
        <v>405</v>
      </c>
      <c r="C34" s="104">
        <f>0.05+E34*(G34+H34+I34+J34+M34+N34)</f>
        <v>11.75</v>
      </c>
      <c r="D34" s="104"/>
      <c r="E34" s="100">
        <v>1.95</v>
      </c>
      <c r="F34" s="17">
        <v>2.7</v>
      </c>
      <c r="G34" s="91"/>
      <c r="H34" s="91"/>
      <c r="I34" s="91">
        <v>1</v>
      </c>
      <c r="J34" s="91"/>
      <c r="K34" s="91"/>
      <c r="L34" s="91"/>
      <c r="M34" s="91"/>
      <c r="N34" s="91">
        <v>5</v>
      </c>
      <c r="O34" s="91"/>
      <c r="P34" s="92">
        <f t="shared" si="1"/>
        <v>31.590000000000003</v>
      </c>
      <c r="Q34" s="50" t="s">
        <v>7</v>
      </c>
      <c r="R34" s="100">
        <f t="shared" si="2"/>
        <v>14.100000000000001</v>
      </c>
      <c r="S34" s="92">
        <f t="shared" si="4"/>
        <v>78.975000000000009</v>
      </c>
      <c r="T34" s="92"/>
      <c r="U34" s="92"/>
      <c r="V34" s="160"/>
      <c r="W34" s="160">
        <f>I34</f>
        <v>1</v>
      </c>
      <c r="X34" s="160"/>
      <c r="Y34" s="160"/>
      <c r="Z34" s="160"/>
      <c r="AA34" s="160"/>
      <c r="AB34" s="160">
        <f>N34</f>
        <v>5</v>
      </c>
      <c r="AC34" s="160"/>
      <c r="AD34" s="139">
        <f t="shared" si="3"/>
        <v>6</v>
      </c>
      <c r="AE34" s="1"/>
    </row>
    <row r="35" spans="1:31" ht="70.05" customHeight="1" x14ac:dyDescent="0.25">
      <c r="A35" s="141" t="s">
        <v>110</v>
      </c>
      <c r="B35" s="748" t="s">
        <v>816</v>
      </c>
      <c r="C35" s="104"/>
      <c r="D35" s="104"/>
      <c r="E35" s="100">
        <v>1.95</v>
      </c>
      <c r="F35" s="17">
        <v>2.7</v>
      </c>
      <c r="G35" s="91"/>
      <c r="H35" s="91"/>
      <c r="I35" s="91">
        <v>1</v>
      </c>
      <c r="J35" s="91"/>
      <c r="K35" s="91"/>
      <c r="L35" s="91"/>
      <c r="M35" s="91"/>
      <c r="N35" s="91"/>
      <c r="O35" s="91"/>
      <c r="P35" s="92">
        <f t="shared" ref="P35" si="15">(E35*F35)*(G35+H35+I35+J35+K35+L35+M35+N35+O35)</f>
        <v>5.2650000000000006</v>
      </c>
      <c r="Q35" s="50" t="s">
        <v>7</v>
      </c>
      <c r="R35" s="100">
        <f t="shared" ref="R35" si="16">(0.4+E35)*(G35+H35+I35+J35+K35+L35+M35+N35+O35)</f>
        <v>2.35</v>
      </c>
      <c r="S35" s="92">
        <f t="shared" ref="S35" si="17">2.5*P35</f>
        <v>13.162500000000001</v>
      </c>
      <c r="T35" s="92"/>
      <c r="U35" s="92"/>
      <c r="V35" s="160"/>
      <c r="W35" s="160">
        <f>I35</f>
        <v>1</v>
      </c>
      <c r="X35" s="160"/>
      <c r="Y35" s="160"/>
      <c r="Z35" s="160"/>
      <c r="AA35" s="160"/>
      <c r="AB35" s="160"/>
      <c r="AC35" s="160"/>
      <c r="AD35" s="139">
        <f t="shared" si="3"/>
        <v>1</v>
      </c>
      <c r="AE35" s="1"/>
    </row>
    <row r="36" spans="1:31" ht="40.049999999999997" customHeight="1" x14ac:dyDescent="0.25">
      <c r="A36" s="141" t="s">
        <v>406</v>
      </c>
      <c r="B36" s="748" t="s">
        <v>824</v>
      </c>
      <c r="C36" s="104"/>
      <c r="D36" s="104"/>
      <c r="E36" s="100">
        <v>2.5</v>
      </c>
      <c r="F36" s="17">
        <v>2.7</v>
      </c>
      <c r="G36" s="91"/>
      <c r="H36" s="91"/>
      <c r="I36" s="91">
        <v>14</v>
      </c>
      <c r="J36" s="91"/>
      <c r="K36" s="91"/>
      <c r="L36" s="91"/>
      <c r="M36" s="91"/>
      <c r="N36" s="91"/>
      <c r="O36" s="91"/>
      <c r="P36" s="92">
        <f t="shared" si="1"/>
        <v>94.5</v>
      </c>
      <c r="Q36" s="50" t="s">
        <v>7</v>
      </c>
      <c r="R36" s="100">
        <f t="shared" si="2"/>
        <v>40.6</v>
      </c>
      <c r="S36" s="92">
        <f t="shared" si="4"/>
        <v>236.25</v>
      </c>
      <c r="T36" s="92"/>
      <c r="U36" s="92"/>
      <c r="V36" s="160"/>
      <c r="W36" s="92">
        <f>I36</f>
        <v>14</v>
      </c>
      <c r="X36" s="160"/>
      <c r="Y36" s="160"/>
      <c r="Z36" s="160"/>
      <c r="AA36" s="160"/>
      <c r="AB36" s="160"/>
      <c r="AC36" s="160"/>
      <c r="AD36" s="139">
        <f t="shared" si="3"/>
        <v>14</v>
      </c>
      <c r="AE36" s="1"/>
    </row>
    <row r="37" spans="1:31" ht="40.049999999999997" customHeight="1" x14ac:dyDescent="0.25">
      <c r="A37" s="141" t="s">
        <v>406</v>
      </c>
      <c r="B37" s="104" t="s">
        <v>836</v>
      </c>
      <c r="C37" s="104"/>
      <c r="D37" s="104"/>
      <c r="E37" s="100">
        <v>2.2799999999999998</v>
      </c>
      <c r="F37" s="17">
        <v>2.1</v>
      </c>
      <c r="G37" s="91"/>
      <c r="H37" s="91"/>
      <c r="I37" s="91"/>
      <c r="J37" s="91"/>
      <c r="K37" s="91">
        <v>1</v>
      </c>
      <c r="L37" s="91"/>
      <c r="M37" s="91"/>
      <c r="N37" s="91"/>
      <c r="O37" s="91"/>
      <c r="P37" s="92">
        <f t="shared" si="1"/>
        <v>4.7879999999999994</v>
      </c>
      <c r="Q37" s="50" t="s">
        <v>7</v>
      </c>
      <c r="R37" s="100">
        <f t="shared" si="2"/>
        <v>2.6799999999999997</v>
      </c>
      <c r="S37" s="92">
        <f t="shared" ref="S37:S38" si="18">2.5*P37</f>
        <v>11.969999999999999</v>
      </c>
      <c r="T37" s="92"/>
      <c r="U37" s="92"/>
      <c r="V37" s="160"/>
      <c r="W37" s="92"/>
      <c r="X37" s="160"/>
      <c r="Y37" s="92">
        <f>K37</f>
        <v>1</v>
      </c>
      <c r="Z37" s="160"/>
      <c r="AA37" s="160"/>
      <c r="AB37" s="160"/>
      <c r="AC37" s="160"/>
      <c r="AD37" s="139">
        <f t="shared" si="3"/>
        <v>1</v>
      </c>
      <c r="AE37" s="1"/>
    </row>
    <row r="38" spans="1:31" ht="40.049999999999997" customHeight="1" x14ac:dyDescent="0.25">
      <c r="A38" s="141" t="s">
        <v>415</v>
      </c>
      <c r="B38" s="104" t="s">
        <v>837</v>
      </c>
      <c r="C38" s="104"/>
      <c r="D38" s="104"/>
      <c r="E38" s="100">
        <v>3.55</v>
      </c>
      <c r="F38" s="17">
        <v>2.1</v>
      </c>
      <c r="G38" s="91"/>
      <c r="H38" s="91"/>
      <c r="I38" s="91"/>
      <c r="J38" s="91"/>
      <c r="K38" s="91">
        <v>1</v>
      </c>
      <c r="L38" s="91"/>
      <c r="M38" s="91"/>
      <c r="N38" s="91"/>
      <c r="O38" s="91"/>
      <c r="P38" s="92">
        <f t="shared" si="1"/>
        <v>7.4550000000000001</v>
      </c>
      <c r="Q38" s="50" t="s">
        <v>7</v>
      </c>
      <c r="R38" s="100">
        <f t="shared" si="2"/>
        <v>3.9499999999999997</v>
      </c>
      <c r="S38" s="92">
        <f t="shared" si="18"/>
        <v>18.637499999999999</v>
      </c>
      <c r="T38" s="92"/>
      <c r="U38" s="92"/>
      <c r="V38" s="160"/>
      <c r="W38" s="92"/>
      <c r="X38" s="160"/>
      <c r="Y38" s="92">
        <f>K38</f>
        <v>1</v>
      </c>
      <c r="Z38" s="160"/>
      <c r="AA38" s="160"/>
      <c r="AB38" s="160"/>
      <c r="AC38" s="160"/>
      <c r="AD38" s="139">
        <f t="shared" si="3"/>
        <v>1</v>
      </c>
      <c r="AE38" s="1"/>
    </row>
    <row r="39" spans="1:31" ht="20.100000000000001" customHeight="1" x14ac:dyDescent="0.25">
      <c r="A39" s="141"/>
      <c r="B39" s="76" t="s">
        <v>39</v>
      </c>
      <c r="C39" s="51">
        <f>SUM(C12:C38)</f>
        <v>152.5</v>
      </c>
      <c r="D39" s="51"/>
      <c r="E39" s="19"/>
      <c r="F39" s="19"/>
      <c r="G39" s="167" t="s">
        <v>50</v>
      </c>
      <c r="H39" s="167" t="s">
        <v>93</v>
      </c>
      <c r="I39" s="167" t="s">
        <v>94</v>
      </c>
      <c r="J39" s="167" t="s">
        <v>95</v>
      </c>
      <c r="K39" s="167" t="s">
        <v>96</v>
      </c>
      <c r="L39" s="167" t="s">
        <v>97</v>
      </c>
      <c r="M39" s="167" t="s">
        <v>98</v>
      </c>
      <c r="N39" s="167" t="s">
        <v>646</v>
      </c>
      <c r="O39" s="167" t="s">
        <v>735</v>
      </c>
      <c r="P39" s="51">
        <f>SUM(P12:P38)</f>
        <v>846.04800000000012</v>
      </c>
      <c r="Q39" s="23" t="s">
        <v>7</v>
      </c>
      <c r="R39" s="99">
        <f>SUM(R12:R38)</f>
        <v>534.18000000000006</v>
      </c>
      <c r="S39" s="99">
        <f>SUM(S12:S38)</f>
        <v>2115.1199999999994</v>
      </c>
      <c r="T39" s="99">
        <f>SUM(T12:T31)</f>
        <v>0</v>
      </c>
      <c r="U39" s="164" t="s">
        <v>99</v>
      </c>
      <c r="V39" s="164" t="s">
        <v>100</v>
      </c>
      <c r="W39" s="164" t="s">
        <v>101</v>
      </c>
      <c r="X39" s="164" t="s">
        <v>102</v>
      </c>
      <c r="Y39" s="164" t="s">
        <v>103</v>
      </c>
      <c r="Z39" s="164" t="s">
        <v>104</v>
      </c>
      <c r="AA39" s="164" t="s">
        <v>105</v>
      </c>
      <c r="AB39" s="164" t="s">
        <v>616</v>
      </c>
      <c r="AC39" s="164" t="s">
        <v>727</v>
      </c>
      <c r="AD39" s="99"/>
      <c r="AE39" s="1"/>
    </row>
    <row r="40" spans="1:31" ht="24.9" customHeight="1" x14ac:dyDescent="0.25">
      <c r="B40" s="823" t="s">
        <v>1</v>
      </c>
      <c r="C40" s="102" t="s">
        <v>46</v>
      </c>
      <c r="D40" s="102" t="s">
        <v>47</v>
      </c>
      <c r="E40" s="68" t="s">
        <v>4</v>
      </c>
      <c r="F40" s="68" t="s">
        <v>40</v>
      </c>
      <c r="G40" s="140" t="s">
        <v>42</v>
      </c>
      <c r="H40" s="140" t="s">
        <v>42</v>
      </c>
      <c r="I40" s="140" t="s">
        <v>42</v>
      </c>
      <c r="J40" s="140" t="s">
        <v>42</v>
      </c>
      <c r="K40" s="140" t="s">
        <v>42</v>
      </c>
      <c r="L40" s="140" t="s">
        <v>42</v>
      </c>
      <c r="M40" s="140" t="s">
        <v>42</v>
      </c>
      <c r="N40" s="140" t="s">
        <v>42</v>
      </c>
      <c r="O40" s="140" t="s">
        <v>42</v>
      </c>
      <c r="P40" s="67" t="s">
        <v>5</v>
      </c>
      <c r="Q40" s="823" t="s">
        <v>7</v>
      </c>
      <c r="R40" s="68" t="s">
        <v>37</v>
      </c>
      <c r="S40" s="103" t="s">
        <v>38</v>
      </c>
      <c r="T40" s="138" t="s">
        <v>853</v>
      </c>
      <c r="U40" s="831" t="s">
        <v>50</v>
      </c>
      <c r="V40" s="830" t="s">
        <v>93</v>
      </c>
      <c r="W40" s="830" t="s">
        <v>94</v>
      </c>
      <c r="X40" s="830" t="s">
        <v>95</v>
      </c>
      <c r="Y40" s="830" t="s">
        <v>96</v>
      </c>
      <c r="Z40" s="830" t="s">
        <v>97</v>
      </c>
      <c r="AA40" s="830" t="s">
        <v>98</v>
      </c>
      <c r="AB40" s="830" t="s">
        <v>646</v>
      </c>
      <c r="AC40" s="830" t="s">
        <v>735</v>
      </c>
      <c r="AD40" s="875" t="s">
        <v>8</v>
      </c>
      <c r="AE40" s="1"/>
    </row>
    <row r="41" spans="1:31" ht="15" customHeight="1" x14ac:dyDescent="0.3">
      <c r="B41" s="823"/>
      <c r="C41" s="81" t="s">
        <v>10</v>
      </c>
      <c r="D41" s="81" t="s">
        <v>10</v>
      </c>
      <c r="E41" s="81" t="s">
        <v>10</v>
      </c>
      <c r="F41" s="81" t="s">
        <v>10</v>
      </c>
      <c r="G41" s="80" t="s">
        <v>9</v>
      </c>
      <c r="H41" s="80" t="s">
        <v>9</v>
      </c>
      <c r="I41" s="80" t="s">
        <v>9</v>
      </c>
      <c r="J41" s="80" t="s">
        <v>9</v>
      </c>
      <c r="K41" s="80" t="s">
        <v>9</v>
      </c>
      <c r="L41" s="80" t="s">
        <v>9</v>
      </c>
      <c r="M41" s="80" t="s">
        <v>9</v>
      </c>
      <c r="N41" s="80" t="s">
        <v>9</v>
      </c>
      <c r="O41" s="80" t="s">
        <v>9</v>
      </c>
      <c r="P41" s="82" t="s">
        <v>11</v>
      </c>
      <c r="Q41" s="823"/>
      <c r="R41" s="81" t="s">
        <v>10</v>
      </c>
      <c r="S41" s="81" t="s">
        <v>11</v>
      </c>
      <c r="T41" s="81" t="s">
        <v>11</v>
      </c>
      <c r="U41" s="830"/>
      <c r="V41" s="831"/>
      <c r="W41" s="831"/>
      <c r="X41" s="831"/>
      <c r="Y41" s="831"/>
      <c r="Z41" s="831"/>
      <c r="AA41" s="831"/>
      <c r="AB41" s="831"/>
      <c r="AC41" s="831"/>
      <c r="AD41" s="876"/>
      <c r="AE41" s="1"/>
    </row>
    <row r="42" spans="1:31" ht="15" customHeight="1" x14ac:dyDescent="0.25">
      <c r="B42" s="93" t="s">
        <v>115</v>
      </c>
      <c r="C42" s="143"/>
      <c r="D42" s="143"/>
      <c r="E42" s="94"/>
      <c r="F42" s="95"/>
      <c r="G42" s="96"/>
      <c r="H42" s="96"/>
      <c r="I42" s="96"/>
      <c r="J42" s="96"/>
      <c r="K42" s="96"/>
      <c r="L42" s="96"/>
      <c r="M42" s="96"/>
      <c r="N42" s="96"/>
      <c r="O42" s="96"/>
      <c r="P42" s="97"/>
      <c r="Q42" s="98"/>
      <c r="R42" s="94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1"/>
    </row>
    <row r="43" spans="1:31" ht="40.049999999999997" customHeight="1" x14ac:dyDescent="0.25">
      <c r="A43" s="141" t="s">
        <v>116</v>
      </c>
      <c r="B43" s="748" t="s">
        <v>820</v>
      </c>
      <c r="C43" s="104"/>
      <c r="D43" s="180">
        <f>0.1+E43*(G43+H43+I43+J43+K43+L43+M43)</f>
        <v>0.7</v>
      </c>
      <c r="E43" s="100">
        <v>0.6</v>
      </c>
      <c r="F43" s="17">
        <v>1</v>
      </c>
      <c r="G43" s="91">
        <v>1</v>
      </c>
      <c r="H43" s="91"/>
      <c r="I43" s="91"/>
      <c r="J43" s="91"/>
      <c r="K43" s="91"/>
      <c r="L43" s="91"/>
      <c r="M43" s="91"/>
      <c r="N43" s="91"/>
      <c r="O43" s="91"/>
      <c r="P43" s="92">
        <f t="shared" ref="P43:P50" si="19">(E43*F43)*(G43+H43+I43+J43+K43+L43+M43+N43+O43)</f>
        <v>0.6</v>
      </c>
      <c r="Q43" s="50" t="s">
        <v>7</v>
      </c>
      <c r="R43" s="100">
        <f t="shared" ref="R43:R50" si="20">(0.4+E43)*(G43+H43+I43+J43+K43+L43+M43+N43+O43)</f>
        <v>1</v>
      </c>
      <c r="S43" s="92"/>
      <c r="T43" s="92">
        <f>P43</f>
        <v>0.6</v>
      </c>
      <c r="U43" s="92">
        <f>G43</f>
        <v>1</v>
      </c>
      <c r="V43" s="160"/>
      <c r="W43" s="160"/>
      <c r="X43" s="160"/>
      <c r="Y43" s="160"/>
      <c r="Z43" s="160"/>
      <c r="AA43" s="160"/>
      <c r="AB43" s="160"/>
      <c r="AC43" s="160"/>
      <c r="AD43" s="139">
        <f t="shared" ref="AD43:AD50" si="21">SUM(U43:AC43)</f>
        <v>1</v>
      </c>
      <c r="AE43" s="1"/>
    </row>
    <row r="44" spans="1:31" ht="40.049999999999997" customHeight="1" x14ac:dyDescent="0.25">
      <c r="A44" s="141" t="s">
        <v>116</v>
      </c>
      <c r="B44" s="748" t="s">
        <v>819</v>
      </c>
      <c r="C44" s="104"/>
      <c r="D44" s="180">
        <f>0.1+E44*(G44+H44+I44+J44+K44+L44+M44)</f>
        <v>2.1</v>
      </c>
      <c r="E44" s="100">
        <v>1</v>
      </c>
      <c r="F44" s="17">
        <v>1</v>
      </c>
      <c r="G44" s="91"/>
      <c r="H44" s="91">
        <v>1</v>
      </c>
      <c r="I44" s="751">
        <v>1</v>
      </c>
      <c r="J44" s="91"/>
      <c r="K44" s="91"/>
      <c r="L44" s="91"/>
      <c r="M44" s="91"/>
      <c r="N44" s="91"/>
      <c r="O44" s="91"/>
      <c r="P44" s="92">
        <f t="shared" si="19"/>
        <v>2</v>
      </c>
      <c r="Q44" s="50" t="s">
        <v>7</v>
      </c>
      <c r="R44" s="100">
        <f t="shared" si="20"/>
        <v>2.8</v>
      </c>
      <c r="S44" s="92"/>
      <c r="T44" s="92">
        <f t="shared" ref="T44:T48" si="22">P44</f>
        <v>2</v>
      </c>
      <c r="U44" s="92"/>
      <c r="V44" s="160">
        <f>H44</f>
        <v>1</v>
      </c>
      <c r="W44" s="160">
        <f>I44</f>
        <v>1</v>
      </c>
      <c r="X44" s="160"/>
      <c r="Y44" s="160"/>
      <c r="Z44" s="160"/>
      <c r="AA44" s="160"/>
      <c r="AB44" s="160"/>
      <c r="AC44" s="160"/>
      <c r="AD44" s="139">
        <f t="shared" si="21"/>
        <v>2</v>
      </c>
      <c r="AE44" s="1"/>
    </row>
    <row r="45" spans="1:31" ht="40.049999999999997" customHeight="1" x14ac:dyDescent="0.25">
      <c r="A45" s="141" t="s">
        <v>116</v>
      </c>
      <c r="B45" s="748" t="s">
        <v>818</v>
      </c>
      <c r="C45" s="104"/>
      <c r="D45" s="180">
        <f>0.1+E45*(G45+H45+I45+J45+K45+L45+M45)</f>
        <v>1.6</v>
      </c>
      <c r="E45" s="100">
        <v>1.5</v>
      </c>
      <c r="F45" s="17">
        <v>1</v>
      </c>
      <c r="G45" s="91"/>
      <c r="H45" s="91"/>
      <c r="I45" s="91">
        <v>1</v>
      </c>
      <c r="J45" s="91"/>
      <c r="K45" s="91"/>
      <c r="L45" s="91"/>
      <c r="M45" s="91"/>
      <c r="N45" s="91"/>
      <c r="O45" s="91"/>
      <c r="P45" s="92">
        <f t="shared" si="19"/>
        <v>1.5</v>
      </c>
      <c r="Q45" s="50" t="s">
        <v>7</v>
      </c>
      <c r="R45" s="100">
        <f t="shared" si="20"/>
        <v>1.9</v>
      </c>
      <c r="S45" s="92"/>
      <c r="T45" s="92">
        <f t="shared" si="22"/>
        <v>1.5</v>
      </c>
      <c r="U45" s="92"/>
      <c r="V45" s="160"/>
      <c r="W45" s="160">
        <f>I45</f>
        <v>1</v>
      </c>
      <c r="X45" s="160"/>
      <c r="Y45" s="160"/>
      <c r="Z45" s="160"/>
      <c r="AA45" s="160"/>
      <c r="AB45" s="160"/>
      <c r="AC45" s="160"/>
      <c r="AD45" s="139">
        <f t="shared" si="21"/>
        <v>1</v>
      </c>
      <c r="AE45" s="1"/>
    </row>
    <row r="46" spans="1:31" ht="40.049999999999997" customHeight="1" x14ac:dyDescent="0.25">
      <c r="A46" s="141" t="s">
        <v>116</v>
      </c>
      <c r="B46" s="748" t="s">
        <v>830</v>
      </c>
      <c r="C46" s="104"/>
      <c r="D46" s="180">
        <f>0.1+E46*(G46+H46+I46+J46+K46+L46+M46)</f>
        <v>9.6999999999999993</v>
      </c>
      <c r="E46" s="100">
        <v>1.2</v>
      </c>
      <c r="F46" s="17">
        <v>1</v>
      </c>
      <c r="G46" s="91"/>
      <c r="H46" s="91"/>
      <c r="I46" s="91"/>
      <c r="J46" s="91">
        <v>3</v>
      </c>
      <c r="K46" s="91">
        <v>2</v>
      </c>
      <c r="L46" s="91"/>
      <c r="M46" s="91">
        <v>3</v>
      </c>
      <c r="N46" s="91"/>
      <c r="O46" s="91"/>
      <c r="P46" s="92">
        <f t="shared" si="19"/>
        <v>9.6</v>
      </c>
      <c r="Q46" s="50" t="s">
        <v>7</v>
      </c>
      <c r="R46" s="100">
        <f t="shared" si="20"/>
        <v>12.8</v>
      </c>
      <c r="S46" s="92"/>
      <c r="T46" s="92">
        <f t="shared" si="22"/>
        <v>9.6</v>
      </c>
      <c r="U46" s="92"/>
      <c r="V46" s="160"/>
      <c r="W46" s="160"/>
      <c r="X46" s="160">
        <f>J46</f>
        <v>3</v>
      </c>
      <c r="Y46" s="160">
        <f>K46</f>
        <v>2</v>
      </c>
      <c r="Z46" s="160"/>
      <c r="AA46" s="160">
        <f>M46</f>
        <v>3</v>
      </c>
      <c r="AB46" s="160"/>
      <c r="AC46" s="160"/>
      <c r="AD46" s="139">
        <f t="shared" si="21"/>
        <v>8</v>
      </c>
      <c r="AE46" s="1"/>
    </row>
    <row r="47" spans="1:31" ht="40.049999999999997" customHeight="1" x14ac:dyDescent="0.25">
      <c r="A47" s="141" t="s">
        <v>117</v>
      </c>
      <c r="B47" s="748" t="s">
        <v>821</v>
      </c>
      <c r="C47" s="104"/>
      <c r="D47" s="180">
        <f t="shared" ref="D47:D50" si="23">0.1+E47*(G47+H47+I47+J47+K47+L47+M47)</f>
        <v>1.3</v>
      </c>
      <c r="E47" s="100">
        <v>1.2</v>
      </c>
      <c r="F47" s="17">
        <v>1</v>
      </c>
      <c r="G47" s="91">
        <v>1</v>
      </c>
      <c r="H47" s="91"/>
      <c r="I47" s="91"/>
      <c r="J47" s="91"/>
      <c r="K47" s="91"/>
      <c r="L47" s="91"/>
      <c r="M47" s="91"/>
      <c r="N47" s="91"/>
      <c r="O47" s="91"/>
      <c r="P47" s="92">
        <f t="shared" si="19"/>
        <v>1.2</v>
      </c>
      <c r="Q47" s="50" t="s">
        <v>7</v>
      </c>
      <c r="R47" s="100">
        <f t="shared" si="20"/>
        <v>1.6</v>
      </c>
      <c r="S47" s="92"/>
      <c r="T47" s="92">
        <f t="shared" si="22"/>
        <v>1.2</v>
      </c>
      <c r="U47" s="92">
        <f>G47</f>
        <v>1</v>
      </c>
      <c r="V47" s="160"/>
      <c r="W47" s="160"/>
      <c r="X47" s="160"/>
      <c r="Y47" s="160"/>
      <c r="Z47" s="160"/>
      <c r="AA47" s="160"/>
      <c r="AB47" s="160"/>
      <c r="AC47" s="160"/>
      <c r="AD47" s="139">
        <f t="shared" si="21"/>
        <v>1</v>
      </c>
      <c r="AE47" s="1"/>
    </row>
    <row r="48" spans="1:31" ht="40.049999999999997" customHeight="1" x14ac:dyDescent="0.25">
      <c r="A48" s="141" t="s">
        <v>117</v>
      </c>
      <c r="B48" s="748" t="s">
        <v>815</v>
      </c>
      <c r="C48" s="104"/>
      <c r="D48" s="180">
        <f t="shared" si="23"/>
        <v>1.9000000000000001</v>
      </c>
      <c r="E48" s="100">
        <v>1.8</v>
      </c>
      <c r="F48" s="17">
        <v>1</v>
      </c>
      <c r="G48" s="91"/>
      <c r="H48" s="91">
        <v>1</v>
      </c>
      <c r="I48" s="91"/>
      <c r="J48" s="91"/>
      <c r="K48" s="91"/>
      <c r="L48" s="91"/>
      <c r="M48" s="91"/>
      <c r="N48" s="91"/>
      <c r="O48" s="91"/>
      <c r="P48" s="92">
        <f t="shared" si="19"/>
        <v>1.8</v>
      </c>
      <c r="Q48" s="50" t="s">
        <v>7</v>
      </c>
      <c r="R48" s="100">
        <f t="shared" si="20"/>
        <v>2.2000000000000002</v>
      </c>
      <c r="S48" s="92"/>
      <c r="T48" s="92">
        <f t="shared" si="22"/>
        <v>1.8</v>
      </c>
      <c r="U48" s="92"/>
      <c r="V48" s="160">
        <f>H48</f>
        <v>1</v>
      </c>
      <c r="W48" s="160"/>
      <c r="X48" s="160"/>
      <c r="Y48" s="160"/>
      <c r="Z48" s="160"/>
      <c r="AA48" s="160"/>
      <c r="AB48" s="160"/>
      <c r="AC48" s="160"/>
      <c r="AD48" s="139">
        <f t="shared" si="21"/>
        <v>1</v>
      </c>
      <c r="AE48" s="1"/>
    </row>
    <row r="49" spans="1:31" ht="40.049999999999997" customHeight="1" x14ac:dyDescent="0.25">
      <c r="A49" s="141" t="s">
        <v>118</v>
      </c>
      <c r="B49" s="748" t="s">
        <v>822</v>
      </c>
      <c r="C49" s="104"/>
      <c r="D49" s="180">
        <f t="shared" si="23"/>
        <v>2.1</v>
      </c>
      <c r="E49" s="100">
        <v>2</v>
      </c>
      <c r="F49" s="17">
        <v>1</v>
      </c>
      <c r="G49" s="91">
        <v>1</v>
      </c>
      <c r="H49" s="91"/>
      <c r="I49" s="91"/>
      <c r="J49" s="91"/>
      <c r="K49" s="91"/>
      <c r="L49" s="91"/>
      <c r="M49" s="91"/>
      <c r="N49" s="91"/>
      <c r="O49" s="91"/>
      <c r="P49" s="92">
        <f t="shared" si="19"/>
        <v>2</v>
      </c>
      <c r="Q49" s="50" t="s">
        <v>7</v>
      </c>
      <c r="R49" s="100">
        <f t="shared" si="20"/>
        <v>2.4</v>
      </c>
      <c r="S49" s="92"/>
      <c r="T49" s="92">
        <f t="shared" ref="T49:T50" si="24">P49</f>
        <v>2</v>
      </c>
      <c r="U49" s="92">
        <f>G49</f>
        <v>1</v>
      </c>
      <c r="V49" s="160"/>
      <c r="W49" s="160"/>
      <c r="X49" s="160"/>
      <c r="Y49" s="160"/>
      <c r="Z49" s="160"/>
      <c r="AA49" s="160"/>
      <c r="AB49" s="160"/>
      <c r="AC49" s="160"/>
      <c r="AD49" s="139">
        <f t="shared" si="21"/>
        <v>1</v>
      </c>
      <c r="AE49" s="1"/>
    </row>
    <row r="50" spans="1:31" ht="40.049999999999997" customHeight="1" x14ac:dyDescent="0.25">
      <c r="A50" s="141" t="s">
        <v>119</v>
      </c>
      <c r="B50" s="748" t="s">
        <v>823</v>
      </c>
      <c r="C50" s="104"/>
      <c r="D50" s="180">
        <f t="shared" si="23"/>
        <v>2.6</v>
      </c>
      <c r="E50" s="100">
        <v>2.5</v>
      </c>
      <c r="F50" s="17">
        <v>1</v>
      </c>
      <c r="G50" s="91">
        <v>1</v>
      </c>
      <c r="H50" s="91"/>
      <c r="I50" s="91"/>
      <c r="J50" s="91"/>
      <c r="K50" s="91"/>
      <c r="L50" s="91"/>
      <c r="M50" s="91"/>
      <c r="N50" s="91"/>
      <c r="O50" s="91"/>
      <c r="P50" s="92">
        <f t="shared" si="19"/>
        <v>2.5</v>
      </c>
      <c r="Q50" s="50" t="s">
        <v>7</v>
      </c>
      <c r="R50" s="100">
        <f t="shared" si="20"/>
        <v>2.9</v>
      </c>
      <c r="S50" s="92"/>
      <c r="T50" s="92">
        <f t="shared" si="24"/>
        <v>2.5</v>
      </c>
      <c r="U50" s="92">
        <f>G50</f>
        <v>1</v>
      </c>
      <c r="V50" s="160"/>
      <c r="W50" s="160"/>
      <c r="X50" s="160"/>
      <c r="Y50" s="160"/>
      <c r="Z50" s="160"/>
      <c r="AA50" s="160"/>
      <c r="AB50" s="160"/>
      <c r="AC50" s="160"/>
      <c r="AD50" s="139">
        <f t="shared" si="21"/>
        <v>1</v>
      </c>
      <c r="AE50" s="1"/>
    </row>
    <row r="51" spans="1:31" ht="19.95" customHeight="1" x14ac:dyDescent="0.25">
      <c r="A51" s="141"/>
      <c r="B51" s="76" t="s">
        <v>39</v>
      </c>
      <c r="C51" s="51"/>
      <c r="D51" s="51">
        <f>SUM(D43:D50)</f>
        <v>22.000000000000004</v>
      </c>
      <c r="E51" s="19"/>
      <c r="F51" s="19"/>
      <c r="G51" s="167" t="s">
        <v>50</v>
      </c>
      <c r="H51" s="167" t="s">
        <v>93</v>
      </c>
      <c r="I51" s="167" t="s">
        <v>94</v>
      </c>
      <c r="J51" s="167" t="s">
        <v>95</v>
      </c>
      <c r="K51" s="167" t="s">
        <v>96</v>
      </c>
      <c r="L51" s="167" t="s">
        <v>97</v>
      </c>
      <c r="M51" s="167" t="s">
        <v>98</v>
      </c>
      <c r="N51" s="167" t="s">
        <v>646</v>
      </c>
      <c r="O51" s="165" t="s">
        <v>735</v>
      </c>
      <c r="P51" s="19"/>
      <c r="Q51" s="23" t="s">
        <v>7</v>
      </c>
      <c r="R51" s="99">
        <f>SUM(R43:R50)</f>
        <v>27.599999999999998</v>
      </c>
      <c r="S51" s="99"/>
      <c r="T51" s="99">
        <f>SUM(T43:T50)</f>
        <v>21.2</v>
      </c>
      <c r="U51" s="164" t="s">
        <v>99</v>
      </c>
      <c r="V51" s="164" t="s">
        <v>100</v>
      </c>
      <c r="W51" s="164" t="s">
        <v>101</v>
      </c>
      <c r="X51" s="164" t="s">
        <v>102</v>
      </c>
      <c r="Y51" s="164" t="s">
        <v>103</v>
      </c>
      <c r="Z51" s="164" t="s">
        <v>104</v>
      </c>
      <c r="AA51" s="164" t="s">
        <v>105</v>
      </c>
      <c r="AB51" s="164" t="s">
        <v>616</v>
      </c>
      <c r="AC51" s="164" t="s">
        <v>727</v>
      </c>
      <c r="AD51" s="99"/>
      <c r="AE51" s="1"/>
    </row>
    <row r="52" spans="1:31" ht="25.05" customHeight="1" x14ac:dyDescent="0.25">
      <c r="A52" s="141"/>
      <c r="B52" s="823" t="s">
        <v>1</v>
      </c>
      <c r="C52" s="102" t="s">
        <v>46</v>
      </c>
      <c r="D52" s="102" t="s">
        <v>47</v>
      </c>
      <c r="E52" s="68" t="s">
        <v>4</v>
      </c>
      <c r="F52" s="68" t="s">
        <v>40</v>
      </c>
      <c r="G52" s="140" t="s">
        <v>42</v>
      </c>
      <c r="H52" s="140" t="s">
        <v>42</v>
      </c>
      <c r="I52" s="140" t="s">
        <v>42</v>
      </c>
      <c r="J52" s="140" t="s">
        <v>42</v>
      </c>
      <c r="K52" s="140" t="s">
        <v>42</v>
      </c>
      <c r="L52" s="140" t="s">
        <v>42</v>
      </c>
      <c r="M52" s="140" t="s">
        <v>42</v>
      </c>
      <c r="N52" s="140" t="s">
        <v>42</v>
      </c>
      <c r="O52" s="140" t="s">
        <v>42</v>
      </c>
      <c r="P52" s="67" t="s">
        <v>5</v>
      </c>
      <c r="Q52" s="823" t="s">
        <v>7</v>
      </c>
      <c r="R52" s="68" t="s">
        <v>37</v>
      </c>
      <c r="S52" s="103" t="s">
        <v>38</v>
      </c>
      <c r="T52" s="138" t="s">
        <v>852</v>
      </c>
      <c r="U52" s="831" t="s">
        <v>50</v>
      </c>
      <c r="V52" s="830" t="s">
        <v>93</v>
      </c>
      <c r="W52" s="830" t="s">
        <v>94</v>
      </c>
      <c r="X52" s="830" t="s">
        <v>95</v>
      </c>
      <c r="Y52" s="830" t="s">
        <v>96</v>
      </c>
      <c r="Z52" s="830" t="s">
        <v>97</v>
      </c>
      <c r="AA52" s="830" t="s">
        <v>98</v>
      </c>
      <c r="AB52" s="830" t="s">
        <v>646</v>
      </c>
      <c r="AC52" s="830" t="s">
        <v>735</v>
      </c>
      <c r="AD52" s="875" t="s">
        <v>8</v>
      </c>
      <c r="AE52" s="1"/>
    </row>
    <row r="53" spans="1:31" ht="19.95" customHeight="1" x14ac:dyDescent="0.3">
      <c r="A53" s="141"/>
      <c r="B53" s="823"/>
      <c r="C53" s="81" t="s">
        <v>10</v>
      </c>
      <c r="D53" s="81" t="s">
        <v>10</v>
      </c>
      <c r="E53" s="81" t="s">
        <v>10</v>
      </c>
      <c r="F53" s="81" t="s">
        <v>10</v>
      </c>
      <c r="G53" s="80" t="s">
        <v>9</v>
      </c>
      <c r="H53" s="80" t="s">
        <v>9</v>
      </c>
      <c r="I53" s="80" t="s">
        <v>9</v>
      </c>
      <c r="J53" s="80" t="s">
        <v>9</v>
      </c>
      <c r="K53" s="80" t="s">
        <v>9</v>
      </c>
      <c r="L53" s="80" t="s">
        <v>9</v>
      </c>
      <c r="M53" s="80" t="s">
        <v>9</v>
      </c>
      <c r="N53" s="80" t="s">
        <v>9</v>
      </c>
      <c r="O53" s="80" t="s">
        <v>9</v>
      </c>
      <c r="P53" s="82" t="s">
        <v>11</v>
      </c>
      <c r="Q53" s="823"/>
      <c r="R53" s="81" t="s">
        <v>10</v>
      </c>
      <c r="S53" s="81" t="s">
        <v>11</v>
      </c>
      <c r="T53" s="81" t="s">
        <v>11</v>
      </c>
      <c r="U53" s="830"/>
      <c r="V53" s="831"/>
      <c r="W53" s="831"/>
      <c r="X53" s="831"/>
      <c r="Y53" s="831"/>
      <c r="Z53" s="831"/>
      <c r="AA53" s="831"/>
      <c r="AB53" s="831"/>
      <c r="AC53" s="831"/>
      <c r="AD53" s="876"/>
      <c r="AE53" s="1"/>
    </row>
    <row r="54" spans="1:31" ht="19.95" customHeight="1" x14ac:dyDescent="0.25">
      <c r="A54" s="141"/>
      <c r="B54" s="93" t="s">
        <v>398</v>
      </c>
      <c r="C54" s="143"/>
      <c r="D54" s="143"/>
      <c r="E54" s="94"/>
      <c r="F54" s="95"/>
      <c r="G54" s="96"/>
      <c r="H54" s="96"/>
      <c r="I54" s="96"/>
      <c r="J54" s="96"/>
      <c r="K54" s="96"/>
      <c r="L54" s="96"/>
      <c r="M54" s="96"/>
      <c r="N54" s="96"/>
      <c r="O54" s="96"/>
      <c r="P54" s="97"/>
      <c r="Q54" s="98"/>
      <c r="R54" s="94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1"/>
    </row>
    <row r="55" spans="1:31" ht="40.049999999999997" customHeight="1" x14ac:dyDescent="0.25">
      <c r="A55" s="141" t="s">
        <v>399</v>
      </c>
      <c r="B55" s="762" t="s">
        <v>812</v>
      </c>
      <c r="C55" s="368"/>
      <c r="D55" s="180">
        <f t="shared" ref="D55:D56" si="25">0.1+E55*(G55+H55+I55+J55+K55+L55+M55)</f>
        <v>2.5000000000000004</v>
      </c>
      <c r="E55" s="17">
        <v>0.8</v>
      </c>
      <c r="F55" s="17">
        <v>1</v>
      </c>
      <c r="G55" s="369"/>
      <c r="H55" s="371">
        <v>3</v>
      </c>
      <c r="I55" s="369"/>
      <c r="J55" s="369"/>
      <c r="K55" s="369"/>
      <c r="L55" s="369"/>
      <c r="M55" s="369"/>
      <c r="N55" s="369"/>
      <c r="O55" s="369"/>
      <c r="P55" s="92">
        <f t="shared" ref="P55:P56" si="26">(E55*F55)*(G55+H55+I55+J55+K55+L55+M55+N55+O55)</f>
        <v>2.4000000000000004</v>
      </c>
      <c r="Q55" s="50" t="s">
        <v>7</v>
      </c>
      <c r="R55" s="100">
        <f t="shared" ref="R55:R56" si="27">(0.4+E55)*(G55+H55+I55+J55+K55+L55+M55+N55+O55)</f>
        <v>3.6000000000000005</v>
      </c>
      <c r="S55" s="367"/>
      <c r="T55" s="92">
        <f>P55</f>
        <v>2.4000000000000004</v>
      </c>
      <c r="U55" s="370"/>
      <c r="V55" s="372">
        <f>H55</f>
        <v>3</v>
      </c>
      <c r="W55" s="370"/>
      <c r="X55" s="370"/>
      <c r="Y55" s="370"/>
      <c r="Z55" s="370"/>
      <c r="AA55" s="370"/>
      <c r="AB55" s="509"/>
      <c r="AC55" s="509"/>
      <c r="AD55" s="139">
        <f t="shared" ref="AD55:AD56" si="28">SUM(U55:AC55)</f>
        <v>3</v>
      </c>
      <c r="AE55" s="1"/>
    </row>
    <row r="56" spans="1:31" ht="40.049999999999997" customHeight="1" x14ac:dyDescent="0.25">
      <c r="A56" s="141" t="s">
        <v>399</v>
      </c>
      <c r="B56" s="762" t="s">
        <v>846</v>
      </c>
      <c r="C56" s="368"/>
      <c r="D56" s="180">
        <f t="shared" si="25"/>
        <v>0.7</v>
      </c>
      <c r="E56" s="17">
        <v>0.6</v>
      </c>
      <c r="F56" s="17">
        <v>1</v>
      </c>
      <c r="G56" s="369"/>
      <c r="H56" s="369"/>
      <c r="I56" s="369"/>
      <c r="J56" s="369"/>
      <c r="K56" s="369"/>
      <c r="L56" s="371">
        <v>1</v>
      </c>
      <c r="M56" s="369"/>
      <c r="N56" s="369"/>
      <c r="O56" s="369"/>
      <c r="P56" s="92">
        <f t="shared" si="26"/>
        <v>0.6</v>
      </c>
      <c r="Q56" s="50" t="s">
        <v>7</v>
      </c>
      <c r="R56" s="100">
        <f t="shared" si="27"/>
        <v>1</v>
      </c>
      <c r="S56" s="367"/>
      <c r="T56" s="92">
        <f>P56</f>
        <v>0.6</v>
      </c>
      <c r="U56" s="370"/>
      <c r="V56" s="370"/>
      <c r="W56" s="370"/>
      <c r="X56" s="370"/>
      <c r="Y56" s="370"/>
      <c r="Z56" s="372">
        <f>L56</f>
        <v>1</v>
      </c>
      <c r="AA56" s="370"/>
      <c r="AB56" s="509"/>
      <c r="AC56" s="509"/>
      <c r="AD56" s="139">
        <f t="shared" si="28"/>
        <v>1</v>
      </c>
      <c r="AE56" s="1"/>
    </row>
    <row r="57" spans="1:31" ht="19.95" customHeight="1" x14ac:dyDescent="0.25">
      <c r="A57" s="141"/>
      <c r="B57" s="76" t="s">
        <v>39</v>
      </c>
      <c r="C57" s="51"/>
      <c r="D57" s="51">
        <f>SUM(D55:D56)</f>
        <v>3.2</v>
      </c>
      <c r="E57" s="19"/>
      <c r="F57" s="19"/>
      <c r="G57" s="167" t="s">
        <v>50</v>
      </c>
      <c r="H57" s="167" t="s">
        <v>93</v>
      </c>
      <c r="I57" s="167" t="s">
        <v>94</v>
      </c>
      <c r="J57" s="167" t="s">
        <v>95</v>
      </c>
      <c r="K57" s="167" t="s">
        <v>96</v>
      </c>
      <c r="L57" s="167" t="s">
        <v>97</v>
      </c>
      <c r="M57" s="167" t="s">
        <v>98</v>
      </c>
      <c r="N57" s="167" t="s">
        <v>646</v>
      </c>
      <c r="O57" s="167" t="s">
        <v>735</v>
      </c>
      <c r="P57" s="19"/>
      <c r="Q57" s="23" t="s">
        <v>7</v>
      </c>
      <c r="R57" s="99">
        <f>SUM(R55:R56)</f>
        <v>4.6000000000000005</v>
      </c>
      <c r="S57" s="99"/>
      <c r="T57" s="99">
        <f>SUM(T55:T56)</f>
        <v>3.0000000000000004</v>
      </c>
      <c r="U57" s="164" t="s">
        <v>99</v>
      </c>
      <c r="V57" s="164" t="s">
        <v>100</v>
      </c>
      <c r="W57" s="164" t="s">
        <v>101</v>
      </c>
      <c r="X57" s="164" t="s">
        <v>102</v>
      </c>
      <c r="Y57" s="164" t="s">
        <v>103</v>
      </c>
      <c r="Z57" s="164" t="s">
        <v>104</v>
      </c>
      <c r="AA57" s="164" t="s">
        <v>105</v>
      </c>
      <c r="AB57" s="164" t="s">
        <v>616</v>
      </c>
      <c r="AC57" s="164" t="s">
        <v>727</v>
      </c>
      <c r="AD57" s="99"/>
      <c r="AE57" s="1"/>
    </row>
    <row r="58" spans="1:31" ht="25.05" customHeight="1" x14ac:dyDescent="0.25">
      <c r="B58" s="823" t="s">
        <v>1</v>
      </c>
      <c r="C58" s="102" t="s">
        <v>46</v>
      </c>
      <c r="D58" s="102" t="s">
        <v>47</v>
      </c>
      <c r="E58" s="68" t="s">
        <v>4</v>
      </c>
      <c r="F58" s="68" t="s">
        <v>40</v>
      </c>
      <c r="G58" s="140" t="s">
        <v>42</v>
      </c>
      <c r="H58" s="140" t="s">
        <v>42</v>
      </c>
      <c r="I58" s="140" t="s">
        <v>42</v>
      </c>
      <c r="J58" s="140" t="s">
        <v>42</v>
      </c>
      <c r="K58" s="140" t="s">
        <v>42</v>
      </c>
      <c r="L58" s="140" t="s">
        <v>42</v>
      </c>
      <c r="M58" s="140" t="s">
        <v>42</v>
      </c>
      <c r="N58" s="140" t="s">
        <v>42</v>
      </c>
      <c r="O58" s="140" t="s">
        <v>42</v>
      </c>
      <c r="P58" s="67" t="s">
        <v>5</v>
      </c>
      <c r="Q58" s="823" t="s">
        <v>7</v>
      </c>
      <c r="R58" s="68" t="s">
        <v>37</v>
      </c>
      <c r="S58" s="103" t="s">
        <v>138</v>
      </c>
      <c r="T58" s="138" t="s">
        <v>48</v>
      </c>
      <c r="U58" s="831" t="s">
        <v>50</v>
      </c>
      <c r="V58" s="830" t="s">
        <v>93</v>
      </c>
      <c r="W58" s="830" t="s">
        <v>94</v>
      </c>
      <c r="X58" s="830" t="s">
        <v>95</v>
      </c>
      <c r="Y58" s="830" t="s">
        <v>96</v>
      </c>
      <c r="Z58" s="830" t="s">
        <v>97</v>
      </c>
      <c r="AA58" s="830" t="s">
        <v>98</v>
      </c>
      <c r="AB58" s="830" t="s">
        <v>646</v>
      </c>
      <c r="AC58" s="830" t="s">
        <v>735</v>
      </c>
      <c r="AD58" s="875" t="s">
        <v>8</v>
      </c>
      <c r="AE58" s="1"/>
    </row>
    <row r="59" spans="1:31" ht="14.4" x14ac:dyDescent="0.3">
      <c r="B59" s="823"/>
      <c r="C59" s="81" t="s">
        <v>10</v>
      </c>
      <c r="D59" s="81" t="s">
        <v>10</v>
      </c>
      <c r="E59" s="81" t="s">
        <v>10</v>
      </c>
      <c r="F59" s="81" t="s">
        <v>10</v>
      </c>
      <c r="G59" s="80" t="s">
        <v>9</v>
      </c>
      <c r="H59" s="80" t="s">
        <v>9</v>
      </c>
      <c r="I59" s="80" t="s">
        <v>9</v>
      </c>
      <c r="J59" s="80" t="s">
        <v>9</v>
      </c>
      <c r="K59" s="80" t="s">
        <v>9</v>
      </c>
      <c r="L59" s="80" t="s">
        <v>9</v>
      </c>
      <c r="M59" s="80" t="s">
        <v>9</v>
      </c>
      <c r="N59" s="80" t="s">
        <v>9</v>
      </c>
      <c r="O59" s="80" t="s">
        <v>9</v>
      </c>
      <c r="P59" s="82" t="s">
        <v>11</v>
      </c>
      <c r="Q59" s="823"/>
      <c r="R59" s="81" t="s">
        <v>10</v>
      </c>
      <c r="S59" s="81" t="s">
        <v>11</v>
      </c>
      <c r="T59" s="81" t="s">
        <v>11</v>
      </c>
      <c r="U59" s="830"/>
      <c r="V59" s="831"/>
      <c r="W59" s="831"/>
      <c r="X59" s="831"/>
      <c r="Y59" s="831"/>
      <c r="Z59" s="831"/>
      <c r="AA59" s="831"/>
      <c r="AB59" s="831"/>
      <c r="AC59" s="831"/>
      <c r="AD59" s="876"/>
      <c r="AE59" s="1"/>
    </row>
    <row r="60" spans="1:31" ht="14.4" x14ac:dyDescent="0.25">
      <c r="B60" s="93" t="s">
        <v>120</v>
      </c>
      <c r="C60" s="143"/>
      <c r="D60" s="143"/>
      <c r="E60" s="94"/>
      <c r="F60" s="95"/>
      <c r="G60" s="96"/>
      <c r="H60" s="96"/>
      <c r="I60" s="96"/>
      <c r="J60" s="96"/>
      <c r="K60" s="96"/>
      <c r="L60" s="96"/>
      <c r="M60" s="96"/>
      <c r="N60" s="96"/>
      <c r="O60" s="96"/>
      <c r="P60" s="97"/>
      <c r="Q60" s="98"/>
      <c r="R60" s="94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1"/>
    </row>
    <row r="61" spans="1:31" ht="28.8" x14ac:dyDescent="0.25">
      <c r="A61" s="373" t="s">
        <v>122</v>
      </c>
      <c r="B61" s="374" t="s">
        <v>121</v>
      </c>
      <c r="C61" s="104"/>
      <c r="D61" s="104"/>
      <c r="E61" s="100">
        <v>0.9</v>
      </c>
      <c r="F61" s="17">
        <v>2.1</v>
      </c>
      <c r="G61" s="91"/>
      <c r="H61" s="91"/>
      <c r="I61" s="91"/>
      <c r="J61" s="91"/>
      <c r="K61" s="91"/>
      <c r="L61" s="91"/>
      <c r="M61" s="91"/>
      <c r="N61" s="91"/>
      <c r="O61" s="91"/>
      <c r="P61" s="92">
        <f t="shared" ref="P61:P92" si="29">(E61*F61)*(G61+H61+I61+J61+K61+L61+M61+N61+O61)</f>
        <v>0</v>
      </c>
      <c r="Q61" s="50" t="s">
        <v>7</v>
      </c>
      <c r="R61" s="100">
        <f t="shared" ref="R61:R92" si="30">(0.4+E61)*(G61+H61+I61+J61+K61+L61+M61+N61+O61)</f>
        <v>0</v>
      </c>
      <c r="S61" s="92">
        <f t="shared" ref="S61:S62" si="31">2*P61</f>
        <v>0</v>
      </c>
      <c r="T61" s="92"/>
      <c r="U61" s="92"/>
      <c r="V61" s="160"/>
      <c r="W61" s="160"/>
      <c r="X61" s="160"/>
      <c r="Y61" s="160"/>
      <c r="Z61" s="160"/>
      <c r="AA61" s="160"/>
      <c r="AB61" s="160"/>
      <c r="AC61" s="160"/>
      <c r="AD61" s="139">
        <f t="shared" ref="AD61:AD92" si="32">SUM(U61:AC61)</f>
        <v>0</v>
      </c>
      <c r="AE61" s="1"/>
    </row>
    <row r="62" spans="1:31" ht="43.2" x14ac:dyDescent="0.25">
      <c r="A62" s="141" t="s">
        <v>122</v>
      </c>
      <c r="B62" s="104" t="s">
        <v>835</v>
      </c>
      <c r="C62" s="104"/>
      <c r="D62" s="104"/>
      <c r="E62" s="100">
        <v>1.2</v>
      </c>
      <c r="F62" s="17">
        <v>2.1</v>
      </c>
      <c r="G62" s="91"/>
      <c r="H62" s="91"/>
      <c r="I62" s="91"/>
      <c r="J62" s="91">
        <v>1</v>
      </c>
      <c r="K62" s="91"/>
      <c r="L62" s="91"/>
      <c r="M62" s="91"/>
      <c r="N62" s="91"/>
      <c r="O62" s="91"/>
      <c r="P62" s="92">
        <f t="shared" si="29"/>
        <v>2.52</v>
      </c>
      <c r="Q62" s="50" t="s">
        <v>7</v>
      </c>
      <c r="R62" s="100">
        <f t="shared" si="30"/>
        <v>1.6</v>
      </c>
      <c r="S62" s="92">
        <f t="shared" si="31"/>
        <v>5.04</v>
      </c>
      <c r="T62" s="92"/>
      <c r="U62" s="92"/>
      <c r="V62" s="160"/>
      <c r="W62" s="160"/>
      <c r="X62" s="160">
        <f>J62</f>
        <v>1</v>
      </c>
      <c r="Y62" s="160"/>
      <c r="Z62" s="160"/>
      <c r="AA62" s="160"/>
      <c r="AB62" s="160"/>
      <c r="AC62" s="160"/>
      <c r="AD62" s="139">
        <f t="shared" si="32"/>
        <v>1</v>
      </c>
      <c r="AE62" s="1"/>
    </row>
    <row r="63" spans="1:31" ht="40.049999999999997" customHeight="1" x14ac:dyDescent="0.25">
      <c r="A63" s="743" t="s">
        <v>122</v>
      </c>
      <c r="B63" s="744" t="s">
        <v>789</v>
      </c>
      <c r="C63" s="104"/>
      <c r="D63" s="104"/>
      <c r="E63" s="746">
        <v>0.8</v>
      </c>
      <c r="F63" s="747">
        <v>2.1</v>
      </c>
      <c r="G63" s="750">
        <v>1</v>
      </c>
      <c r="H63" s="91"/>
      <c r="I63" s="91"/>
      <c r="J63" s="91"/>
      <c r="K63" s="91"/>
      <c r="L63" s="91"/>
      <c r="M63" s="91"/>
      <c r="N63" s="91"/>
      <c r="O63" s="91"/>
      <c r="P63" s="92">
        <f t="shared" ref="P63:P64" si="33">(E63*F63)*(G63+H63+I63+J63+K63+L63+M63+N63+O63)</f>
        <v>1.6800000000000002</v>
      </c>
      <c r="Q63" s="50" t="s">
        <v>7</v>
      </c>
      <c r="R63" s="100">
        <f t="shared" ref="R63:R64" si="34">(0.4+E63)*(G63+H63+I63+J63+K63+L63+M63+N63+O63)</f>
        <v>1.2000000000000002</v>
      </c>
      <c r="S63" s="92">
        <f t="shared" ref="S63:S64" si="35">2*P63</f>
        <v>3.3600000000000003</v>
      </c>
      <c r="T63" s="92"/>
      <c r="U63" s="92">
        <f t="shared" ref="U63:U77" si="36">G63</f>
        <v>1</v>
      </c>
      <c r="V63" s="160"/>
      <c r="W63" s="160"/>
      <c r="X63" s="160"/>
      <c r="Y63" s="160"/>
      <c r="Z63" s="160"/>
      <c r="AA63" s="160"/>
      <c r="AB63" s="160"/>
      <c r="AC63" s="160"/>
      <c r="AD63" s="139">
        <f t="shared" si="32"/>
        <v>1</v>
      </c>
      <c r="AE63" s="1"/>
    </row>
    <row r="64" spans="1:31" ht="40.049999999999997" customHeight="1" x14ac:dyDescent="0.25">
      <c r="A64" s="743" t="s">
        <v>122</v>
      </c>
      <c r="B64" s="744" t="s">
        <v>807</v>
      </c>
      <c r="C64" s="104"/>
      <c r="D64" s="104"/>
      <c r="E64" s="746">
        <v>1.48</v>
      </c>
      <c r="F64" s="747">
        <v>2.5</v>
      </c>
      <c r="G64" s="750">
        <v>1</v>
      </c>
      <c r="H64" s="91"/>
      <c r="I64" s="91"/>
      <c r="J64" s="91"/>
      <c r="K64" s="91"/>
      <c r="L64" s="91"/>
      <c r="M64" s="91"/>
      <c r="N64" s="91"/>
      <c r="O64" s="91"/>
      <c r="P64" s="92">
        <f t="shared" si="33"/>
        <v>3.7</v>
      </c>
      <c r="Q64" s="50" t="s">
        <v>7</v>
      </c>
      <c r="R64" s="100">
        <f t="shared" si="34"/>
        <v>1.88</v>
      </c>
      <c r="S64" s="92">
        <f t="shared" si="35"/>
        <v>7.4</v>
      </c>
      <c r="T64" s="92"/>
      <c r="U64" s="92">
        <f t="shared" si="36"/>
        <v>1</v>
      </c>
      <c r="V64" s="160"/>
      <c r="W64" s="160"/>
      <c r="X64" s="160"/>
      <c r="Y64" s="160"/>
      <c r="Z64" s="160"/>
      <c r="AA64" s="160"/>
      <c r="AB64" s="160"/>
      <c r="AC64" s="160"/>
      <c r="AD64" s="139">
        <f t="shared" si="32"/>
        <v>1</v>
      </c>
      <c r="AE64" s="1"/>
    </row>
    <row r="65" spans="1:31" ht="43.2" x14ac:dyDescent="0.25">
      <c r="A65" s="141" t="s">
        <v>658</v>
      </c>
      <c r="B65" s="104" t="s">
        <v>128</v>
      </c>
      <c r="C65" s="104">
        <f>0.05+E65*(G65+H65+I65+J65+K65+M65+N65)</f>
        <v>11.89</v>
      </c>
      <c r="D65" s="104"/>
      <c r="E65" s="100">
        <v>1.48</v>
      </c>
      <c r="F65" s="17">
        <v>2.6</v>
      </c>
      <c r="G65" s="91">
        <v>1</v>
      </c>
      <c r="H65" s="91">
        <v>1</v>
      </c>
      <c r="I65" s="91">
        <v>1</v>
      </c>
      <c r="J65" s="91">
        <v>1</v>
      </c>
      <c r="K65" s="91">
        <v>2</v>
      </c>
      <c r="L65" s="91">
        <v>1</v>
      </c>
      <c r="M65" s="91">
        <v>1</v>
      </c>
      <c r="N65" s="91">
        <v>1</v>
      </c>
      <c r="O65" s="91"/>
      <c r="P65" s="92">
        <f t="shared" si="29"/>
        <v>34.631999999999998</v>
      </c>
      <c r="Q65" s="50" t="s">
        <v>7</v>
      </c>
      <c r="R65" s="100">
        <f t="shared" si="30"/>
        <v>16.919999999999998</v>
      </c>
      <c r="S65" s="92">
        <f>2*P65</f>
        <v>69.263999999999996</v>
      </c>
      <c r="T65" s="92"/>
      <c r="U65" s="92">
        <f t="shared" si="36"/>
        <v>1</v>
      </c>
      <c r="V65" s="160">
        <f t="shared" ref="V65:AB65" si="37">H65</f>
        <v>1</v>
      </c>
      <c r="W65" s="160">
        <f t="shared" si="37"/>
        <v>1</v>
      </c>
      <c r="X65" s="160">
        <f t="shared" si="37"/>
        <v>1</v>
      </c>
      <c r="Y65" s="160">
        <f t="shared" si="37"/>
        <v>2</v>
      </c>
      <c r="Z65" s="160">
        <f t="shared" si="37"/>
        <v>1</v>
      </c>
      <c r="AA65" s="160">
        <f t="shared" si="37"/>
        <v>1</v>
      </c>
      <c r="AB65" s="160">
        <f t="shared" si="37"/>
        <v>1</v>
      </c>
      <c r="AC65" s="160"/>
      <c r="AD65" s="139">
        <f t="shared" si="32"/>
        <v>9</v>
      </c>
      <c r="AE65" s="1"/>
    </row>
    <row r="66" spans="1:31" ht="28.8" x14ac:dyDescent="0.25">
      <c r="A66" s="743" t="s">
        <v>792</v>
      </c>
      <c r="B66" s="744" t="s">
        <v>791</v>
      </c>
      <c r="C66" s="104"/>
      <c r="D66" s="104"/>
      <c r="E66" s="746">
        <v>0.9</v>
      </c>
      <c r="F66" s="747">
        <v>2.1</v>
      </c>
      <c r="G66" s="750">
        <v>1</v>
      </c>
      <c r="H66" s="91"/>
      <c r="I66" s="91"/>
      <c r="J66" s="91"/>
      <c r="K66" s="91"/>
      <c r="L66" s="91"/>
      <c r="M66" s="91"/>
      <c r="N66" s="91"/>
      <c r="O66" s="91"/>
      <c r="P66" s="92">
        <f t="shared" ref="P66" si="38">(E66*F66)*(G66+H66+I66+J66+K66+L66+M66+N66+O66)</f>
        <v>1.8900000000000001</v>
      </c>
      <c r="Q66" s="50" t="s">
        <v>7</v>
      </c>
      <c r="R66" s="100">
        <f t="shared" ref="R66" si="39">(0.4+E66)*(G66+H66+I66+J66+K66+L66+M66+N66+O66)</f>
        <v>1.3</v>
      </c>
      <c r="S66" s="92">
        <f>2*P66</f>
        <v>3.7800000000000002</v>
      </c>
      <c r="T66" s="92"/>
      <c r="U66" s="92">
        <f t="shared" si="36"/>
        <v>1</v>
      </c>
      <c r="V66" s="160"/>
      <c r="W66" s="160"/>
      <c r="X66" s="160"/>
      <c r="Y66" s="160"/>
      <c r="Z66" s="160"/>
      <c r="AA66" s="160"/>
      <c r="AB66" s="160"/>
      <c r="AC66" s="160"/>
      <c r="AD66" s="139">
        <f t="shared" si="32"/>
        <v>1</v>
      </c>
      <c r="AE66" s="1"/>
    </row>
    <row r="67" spans="1:31" ht="28.8" x14ac:dyDescent="0.25">
      <c r="A67" s="373" t="s">
        <v>123</v>
      </c>
      <c r="B67" s="374" t="s">
        <v>129</v>
      </c>
      <c r="C67" s="104"/>
      <c r="D67" s="104"/>
      <c r="E67" s="100">
        <v>1.6</v>
      </c>
      <c r="F67" s="17">
        <v>2.1</v>
      </c>
      <c r="G67" s="91"/>
      <c r="H67" s="91"/>
      <c r="I67" s="91"/>
      <c r="J67" s="91"/>
      <c r="K67" s="91"/>
      <c r="L67" s="91"/>
      <c r="M67" s="91"/>
      <c r="N67" s="91"/>
      <c r="O67" s="91"/>
      <c r="P67" s="92">
        <f t="shared" si="29"/>
        <v>0</v>
      </c>
      <c r="Q67" s="50" t="s">
        <v>7</v>
      </c>
      <c r="R67" s="100">
        <f t="shared" si="30"/>
        <v>0</v>
      </c>
      <c r="S67" s="92">
        <f>2*P67</f>
        <v>0</v>
      </c>
      <c r="T67" s="92"/>
      <c r="U67" s="92">
        <f t="shared" si="36"/>
        <v>0</v>
      </c>
      <c r="V67" s="160"/>
      <c r="W67" s="160"/>
      <c r="X67" s="160"/>
      <c r="Y67" s="160"/>
      <c r="Z67" s="160"/>
      <c r="AA67" s="160"/>
      <c r="AB67" s="160"/>
      <c r="AC67" s="160"/>
      <c r="AD67" s="139">
        <f t="shared" si="32"/>
        <v>0</v>
      </c>
      <c r="AE67" s="1"/>
    </row>
    <row r="68" spans="1:31" ht="57.6" x14ac:dyDescent="0.25">
      <c r="A68" s="743" t="s">
        <v>838</v>
      </c>
      <c r="B68" s="744" t="s">
        <v>793</v>
      </c>
      <c r="C68" s="104"/>
      <c r="D68" s="104"/>
      <c r="E68" s="746">
        <v>1.48</v>
      </c>
      <c r="F68" s="747">
        <v>1.9</v>
      </c>
      <c r="G68" s="750">
        <v>1</v>
      </c>
      <c r="H68" s="456"/>
      <c r="I68" s="91"/>
      <c r="J68" s="751">
        <v>1</v>
      </c>
      <c r="K68" s="751">
        <v>2</v>
      </c>
      <c r="L68" s="751">
        <v>1</v>
      </c>
      <c r="M68" s="751">
        <v>1</v>
      </c>
      <c r="N68" s="91"/>
      <c r="O68" s="91"/>
      <c r="P68" s="92">
        <f t="shared" ref="P68:P72" si="40">(E68*F68)*(G68+H68+I68+J68+K68+L68+M68+N68+O68)</f>
        <v>16.872</v>
      </c>
      <c r="Q68" s="50" t="s">
        <v>7</v>
      </c>
      <c r="R68" s="100">
        <f t="shared" ref="R68:R72" si="41">(0.4+E68)*(G68+H68+I68+J68+K68+L68+M68+N68+O68)</f>
        <v>11.28</v>
      </c>
      <c r="S68" s="92">
        <f t="shared" ref="S68:S72" si="42">2*P68</f>
        <v>33.744</v>
      </c>
      <c r="T68" s="92"/>
      <c r="U68" s="92">
        <f t="shared" si="36"/>
        <v>1</v>
      </c>
      <c r="V68" s="160"/>
      <c r="W68" s="160"/>
      <c r="X68" s="160">
        <f>J68</f>
        <v>1</v>
      </c>
      <c r="Y68" s="160">
        <f>K68</f>
        <v>2</v>
      </c>
      <c r="Z68" s="160">
        <f>L68</f>
        <v>1</v>
      </c>
      <c r="AA68" s="160">
        <f>M68</f>
        <v>1</v>
      </c>
      <c r="AB68" s="160"/>
      <c r="AC68" s="160"/>
      <c r="AD68" s="139">
        <f t="shared" si="32"/>
        <v>6</v>
      </c>
      <c r="AE68" s="1"/>
    </row>
    <row r="69" spans="1:31" ht="57.6" x14ac:dyDescent="0.25">
      <c r="A69" s="743" t="s">
        <v>123</v>
      </c>
      <c r="B69" s="744" t="s">
        <v>827</v>
      </c>
      <c r="C69" s="104"/>
      <c r="D69" s="104"/>
      <c r="E69" s="746">
        <v>1.5</v>
      </c>
      <c r="F69" s="747">
        <v>1.9</v>
      </c>
      <c r="G69" s="750"/>
      <c r="H69" s="456"/>
      <c r="I69" s="91"/>
      <c r="J69" s="751">
        <v>1</v>
      </c>
      <c r="K69" s="91"/>
      <c r="L69" s="91"/>
      <c r="M69" s="91"/>
      <c r="N69" s="91"/>
      <c r="O69" s="91"/>
      <c r="P69" s="92">
        <f t="shared" si="40"/>
        <v>2.8499999999999996</v>
      </c>
      <c r="Q69" s="50" t="s">
        <v>7</v>
      </c>
      <c r="R69" s="100">
        <f t="shared" si="41"/>
        <v>1.9</v>
      </c>
      <c r="S69" s="92">
        <f t="shared" si="42"/>
        <v>5.6999999999999993</v>
      </c>
      <c r="T69" s="92"/>
      <c r="U69" s="92">
        <f t="shared" si="36"/>
        <v>0</v>
      </c>
      <c r="V69" s="160"/>
      <c r="W69" s="160"/>
      <c r="X69" s="160">
        <f>J69</f>
        <v>1</v>
      </c>
      <c r="Y69" s="160"/>
      <c r="Z69" s="160"/>
      <c r="AA69" s="160">
        <f>M69</f>
        <v>0</v>
      </c>
      <c r="AB69" s="160"/>
      <c r="AC69" s="160"/>
      <c r="AD69" s="139">
        <f t="shared" si="32"/>
        <v>1</v>
      </c>
      <c r="AE69" s="1"/>
    </row>
    <row r="70" spans="1:31" ht="57.6" x14ac:dyDescent="0.25">
      <c r="A70" s="743" t="s">
        <v>124</v>
      </c>
      <c r="B70" s="744" t="s">
        <v>794</v>
      </c>
      <c r="C70" s="104"/>
      <c r="D70" s="104"/>
      <c r="E70" s="746">
        <v>1.63</v>
      </c>
      <c r="F70" s="747">
        <v>1.9</v>
      </c>
      <c r="G70" s="750">
        <v>1</v>
      </c>
      <c r="H70" s="91"/>
      <c r="I70" s="91"/>
      <c r="J70" s="91"/>
      <c r="K70" s="91"/>
      <c r="L70" s="91"/>
      <c r="M70" s="91"/>
      <c r="N70" s="91"/>
      <c r="O70" s="91"/>
      <c r="P70" s="92">
        <f t="shared" si="40"/>
        <v>3.0969999999999995</v>
      </c>
      <c r="Q70" s="50" t="s">
        <v>7</v>
      </c>
      <c r="R70" s="100">
        <f t="shared" si="41"/>
        <v>2.0299999999999998</v>
      </c>
      <c r="S70" s="92">
        <f t="shared" si="42"/>
        <v>6.1939999999999991</v>
      </c>
      <c r="T70" s="92"/>
      <c r="U70" s="92">
        <f t="shared" si="36"/>
        <v>1</v>
      </c>
      <c r="V70" s="160"/>
      <c r="W70" s="160"/>
      <c r="X70" s="160"/>
      <c r="Y70" s="160">
        <f>K70</f>
        <v>0</v>
      </c>
      <c r="Z70" s="160"/>
      <c r="AA70" s="160"/>
      <c r="AB70" s="160"/>
      <c r="AC70" s="160"/>
      <c r="AD70" s="139">
        <f t="shared" si="32"/>
        <v>1</v>
      </c>
      <c r="AE70" s="1"/>
    </row>
    <row r="71" spans="1:31" ht="57.6" x14ac:dyDescent="0.25">
      <c r="A71" s="743" t="s">
        <v>828</v>
      </c>
      <c r="B71" s="744" t="s">
        <v>796</v>
      </c>
      <c r="C71" s="104"/>
      <c r="D71" s="104"/>
      <c r="E71" s="746">
        <v>2.35</v>
      </c>
      <c r="F71" s="747">
        <v>1.9</v>
      </c>
      <c r="G71" s="750">
        <v>1</v>
      </c>
      <c r="H71" s="91"/>
      <c r="I71" s="751">
        <v>1</v>
      </c>
      <c r="J71" s="751">
        <v>1</v>
      </c>
      <c r="K71" s="751">
        <v>1</v>
      </c>
      <c r="L71" s="751">
        <v>1</v>
      </c>
      <c r="M71" s="751">
        <v>1</v>
      </c>
      <c r="N71" s="91"/>
      <c r="O71" s="91"/>
      <c r="P71" s="92">
        <f t="shared" si="40"/>
        <v>26.79</v>
      </c>
      <c r="Q71" s="50" t="s">
        <v>7</v>
      </c>
      <c r="R71" s="100">
        <f t="shared" si="41"/>
        <v>16.5</v>
      </c>
      <c r="S71" s="92">
        <f t="shared" si="42"/>
        <v>53.58</v>
      </c>
      <c r="T71" s="92"/>
      <c r="U71" s="92">
        <f t="shared" si="36"/>
        <v>1</v>
      </c>
      <c r="V71" s="160"/>
      <c r="W71" s="160">
        <f>I71</f>
        <v>1</v>
      </c>
      <c r="X71" s="160">
        <f>J71</f>
        <v>1</v>
      </c>
      <c r="Y71" s="160">
        <f>K71</f>
        <v>1</v>
      </c>
      <c r="Z71" s="160">
        <f>L71</f>
        <v>1</v>
      </c>
      <c r="AA71" s="160">
        <f>M71</f>
        <v>1</v>
      </c>
      <c r="AB71" s="160"/>
      <c r="AC71" s="160"/>
      <c r="AD71" s="139">
        <f t="shared" si="32"/>
        <v>6</v>
      </c>
      <c r="AE71" s="1"/>
    </row>
    <row r="72" spans="1:31" ht="57.6" x14ac:dyDescent="0.25">
      <c r="A72" s="743" t="s">
        <v>797</v>
      </c>
      <c r="B72" s="744" t="s">
        <v>798</v>
      </c>
      <c r="C72" s="104"/>
      <c r="D72" s="104"/>
      <c r="E72" s="746">
        <v>2.5</v>
      </c>
      <c r="F72" s="747">
        <v>1.9</v>
      </c>
      <c r="G72" s="750">
        <v>1</v>
      </c>
      <c r="H72" s="91"/>
      <c r="I72" s="91"/>
      <c r="J72" s="91"/>
      <c r="K72" s="91"/>
      <c r="L72" s="91"/>
      <c r="M72" s="91"/>
      <c r="N72" s="91"/>
      <c r="O72" s="91"/>
      <c r="P72" s="92">
        <f t="shared" si="40"/>
        <v>4.75</v>
      </c>
      <c r="Q72" s="50" t="s">
        <v>7</v>
      </c>
      <c r="R72" s="100">
        <f t="shared" si="41"/>
        <v>2.9</v>
      </c>
      <c r="S72" s="92">
        <f t="shared" si="42"/>
        <v>9.5</v>
      </c>
      <c r="T72" s="92"/>
      <c r="U72" s="92">
        <f t="shared" si="36"/>
        <v>1</v>
      </c>
      <c r="V72" s="160"/>
      <c r="W72" s="160"/>
      <c r="X72" s="160"/>
      <c r="Y72" s="160"/>
      <c r="Z72" s="160"/>
      <c r="AA72" s="160"/>
      <c r="AB72" s="160"/>
      <c r="AC72" s="160"/>
      <c r="AD72" s="139">
        <f t="shared" si="32"/>
        <v>1</v>
      </c>
      <c r="AE72" s="1"/>
    </row>
    <row r="73" spans="1:31" ht="57.6" x14ac:dyDescent="0.25">
      <c r="A73" s="743" t="s">
        <v>829</v>
      </c>
      <c r="B73" s="744" t="s">
        <v>799</v>
      </c>
      <c r="C73" s="104"/>
      <c r="D73" s="104"/>
      <c r="E73" s="746">
        <v>3</v>
      </c>
      <c r="F73" s="747">
        <v>1.9</v>
      </c>
      <c r="G73" s="750">
        <v>1</v>
      </c>
      <c r="H73" s="91"/>
      <c r="I73" s="751">
        <v>3</v>
      </c>
      <c r="J73" s="751">
        <v>1</v>
      </c>
      <c r="K73" s="751">
        <v>1</v>
      </c>
      <c r="L73" s="751">
        <v>1</v>
      </c>
      <c r="M73" s="751">
        <v>1</v>
      </c>
      <c r="N73" s="91"/>
      <c r="O73" s="91"/>
      <c r="P73" s="92">
        <f t="shared" ref="P73:P76" si="43">(E73*F73)*(G73+H73+I73+J73+K73+L73+M73+N73+O73)</f>
        <v>45.599999999999994</v>
      </c>
      <c r="Q73" s="50" t="s">
        <v>7</v>
      </c>
      <c r="R73" s="100">
        <f t="shared" ref="R73:R76" si="44">(0.4+E73)*(G73+H73+I73+J73+K73+L73+M73+N73+O73)</f>
        <v>27.2</v>
      </c>
      <c r="S73" s="92">
        <f t="shared" ref="S73:S76" si="45">2*P73</f>
        <v>91.199999999999989</v>
      </c>
      <c r="T73" s="92"/>
      <c r="U73" s="92">
        <f t="shared" si="36"/>
        <v>1</v>
      </c>
      <c r="V73" s="160"/>
      <c r="W73" s="160">
        <f t="shared" ref="W73:AA74" si="46">I73</f>
        <v>3</v>
      </c>
      <c r="X73" s="160">
        <f t="shared" si="46"/>
        <v>1</v>
      </c>
      <c r="Y73" s="160">
        <f t="shared" si="46"/>
        <v>1</v>
      </c>
      <c r="Z73" s="160">
        <f t="shared" si="46"/>
        <v>1</v>
      </c>
      <c r="AA73" s="160">
        <f t="shared" si="46"/>
        <v>1</v>
      </c>
      <c r="AB73" s="160"/>
      <c r="AC73" s="160"/>
      <c r="AD73" s="139">
        <f t="shared" si="32"/>
        <v>8</v>
      </c>
      <c r="AE73" s="1"/>
    </row>
    <row r="74" spans="1:31" ht="57.6" x14ac:dyDescent="0.25">
      <c r="A74" s="755" t="s">
        <v>839</v>
      </c>
      <c r="B74" s="744" t="s">
        <v>800</v>
      </c>
      <c r="C74" s="104"/>
      <c r="D74" s="104"/>
      <c r="E74" s="746">
        <v>3.4</v>
      </c>
      <c r="F74" s="747">
        <v>1.9</v>
      </c>
      <c r="G74" s="750">
        <v>1</v>
      </c>
      <c r="H74" s="91"/>
      <c r="I74" s="751">
        <v>1</v>
      </c>
      <c r="J74" s="751">
        <v>1</v>
      </c>
      <c r="K74" s="751">
        <v>1</v>
      </c>
      <c r="L74" s="751">
        <v>1</v>
      </c>
      <c r="M74" s="751">
        <v>1</v>
      </c>
      <c r="N74" s="91"/>
      <c r="O74" s="91"/>
      <c r="P74" s="92">
        <f t="shared" si="43"/>
        <v>38.76</v>
      </c>
      <c r="Q74" s="50" t="s">
        <v>7</v>
      </c>
      <c r="R74" s="100">
        <f t="shared" si="44"/>
        <v>22.799999999999997</v>
      </c>
      <c r="S74" s="92">
        <f t="shared" si="45"/>
        <v>77.52</v>
      </c>
      <c r="T74" s="92"/>
      <c r="U74" s="92">
        <f t="shared" si="36"/>
        <v>1</v>
      </c>
      <c r="V74" s="160"/>
      <c r="W74" s="160">
        <f t="shared" si="46"/>
        <v>1</v>
      </c>
      <c r="X74" s="160">
        <f t="shared" si="46"/>
        <v>1</v>
      </c>
      <c r="Y74" s="160">
        <f t="shared" si="46"/>
        <v>1</v>
      </c>
      <c r="Z74" s="160">
        <f t="shared" si="46"/>
        <v>1</v>
      </c>
      <c r="AA74" s="160">
        <f t="shared" si="46"/>
        <v>1</v>
      </c>
      <c r="AB74" s="160"/>
      <c r="AC74" s="160"/>
      <c r="AD74" s="139">
        <f t="shared" si="32"/>
        <v>6</v>
      </c>
      <c r="AE74" s="1"/>
    </row>
    <row r="75" spans="1:31" ht="28.8" x14ac:dyDescent="0.25">
      <c r="A75" s="743" t="s">
        <v>801</v>
      </c>
      <c r="B75" s="744" t="s">
        <v>802</v>
      </c>
      <c r="C75" s="104"/>
      <c r="D75" s="104"/>
      <c r="E75" s="746">
        <v>5</v>
      </c>
      <c r="F75" s="747">
        <v>2.1</v>
      </c>
      <c r="G75" s="750">
        <v>1</v>
      </c>
      <c r="H75" s="91"/>
      <c r="I75" s="91"/>
      <c r="J75" s="91"/>
      <c r="K75" s="91"/>
      <c r="L75" s="91"/>
      <c r="M75" s="91"/>
      <c r="N75" s="91"/>
      <c r="O75" s="91"/>
      <c r="P75" s="92">
        <f t="shared" si="43"/>
        <v>10.5</v>
      </c>
      <c r="Q75" s="50" t="s">
        <v>7</v>
      </c>
      <c r="R75" s="100">
        <f t="shared" si="44"/>
        <v>5.4</v>
      </c>
      <c r="S75" s="92">
        <f t="shared" si="45"/>
        <v>21</v>
      </c>
      <c r="T75" s="92"/>
      <c r="U75" s="92">
        <f t="shared" si="36"/>
        <v>1</v>
      </c>
      <c r="V75" s="160"/>
      <c r="W75" s="160"/>
      <c r="X75" s="160"/>
      <c r="Y75" s="160"/>
      <c r="Z75" s="160"/>
      <c r="AA75" s="160"/>
      <c r="AB75" s="160"/>
      <c r="AC75" s="160"/>
      <c r="AD75" s="139">
        <f t="shared" si="32"/>
        <v>1</v>
      </c>
      <c r="AE75" s="1"/>
    </row>
    <row r="76" spans="1:31" ht="28.8" x14ac:dyDescent="0.25">
      <c r="A76" s="743" t="s">
        <v>803</v>
      </c>
      <c r="B76" s="744" t="s">
        <v>804</v>
      </c>
      <c r="C76" s="104"/>
      <c r="D76" s="104"/>
      <c r="E76" s="746">
        <v>19.62</v>
      </c>
      <c r="F76" s="747">
        <v>2.1</v>
      </c>
      <c r="G76" s="750">
        <v>1</v>
      </c>
      <c r="H76" s="91"/>
      <c r="I76" s="91"/>
      <c r="J76" s="91"/>
      <c r="K76" s="91"/>
      <c r="L76" s="91"/>
      <c r="M76" s="91"/>
      <c r="N76" s="91"/>
      <c r="O76" s="91"/>
      <c r="P76" s="92">
        <f t="shared" si="43"/>
        <v>41.202000000000005</v>
      </c>
      <c r="Q76" s="50" t="s">
        <v>7</v>
      </c>
      <c r="R76" s="100">
        <f t="shared" si="44"/>
        <v>20.02</v>
      </c>
      <c r="S76" s="92">
        <f t="shared" si="45"/>
        <v>82.404000000000011</v>
      </c>
      <c r="T76" s="92"/>
      <c r="U76" s="92">
        <f t="shared" si="36"/>
        <v>1</v>
      </c>
      <c r="V76" s="160"/>
      <c r="W76" s="160"/>
      <c r="X76" s="160"/>
      <c r="Y76" s="160"/>
      <c r="Z76" s="160"/>
      <c r="AA76" s="160"/>
      <c r="AB76" s="160"/>
      <c r="AC76" s="160"/>
      <c r="AD76" s="139">
        <f t="shared" si="32"/>
        <v>1</v>
      </c>
      <c r="AE76" s="1"/>
    </row>
    <row r="77" spans="1:31" ht="43.2" x14ac:dyDescent="0.25">
      <c r="A77" s="141" t="s">
        <v>124</v>
      </c>
      <c r="B77" s="104" t="s">
        <v>130</v>
      </c>
      <c r="C77" s="104"/>
      <c r="D77" s="104"/>
      <c r="E77" s="100">
        <v>1.77</v>
      </c>
      <c r="F77" s="17">
        <v>2.6</v>
      </c>
      <c r="G77" s="91">
        <v>1</v>
      </c>
      <c r="H77" s="91"/>
      <c r="I77" s="91"/>
      <c r="J77" s="91"/>
      <c r="K77" s="91"/>
      <c r="L77" s="91"/>
      <c r="M77" s="91"/>
      <c r="N77" s="91"/>
      <c r="O77" s="91"/>
      <c r="P77" s="92">
        <f t="shared" si="29"/>
        <v>4.6020000000000003</v>
      </c>
      <c r="Q77" s="50" t="s">
        <v>7</v>
      </c>
      <c r="R77" s="100">
        <f t="shared" si="30"/>
        <v>2.17</v>
      </c>
      <c r="S77" s="92">
        <f t="shared" ref="S77:S83" si="47">2*P77</f>
        <v>9.2040000000000006</v>
      </c>
      <c r="T77" s="92"/>
      <c r="U77" s="92">
        <f t="shared" si="36"/>
        <v>1</v>
      </c>
      <c r="V77" s="160"/>
      <c r="W77" s="160"/>
      <c r="X77" s="160"/>
      <c r="Y77" s="160"/>
      <c r="Z77" s="160"/>
      <c r="AA77" s="160"/>
      <c r="AB77" s="160"/>
      <c r="AC77" s="160"/>
      <c r="AD77" s="139">
        <f t="shared" si="32"/>
        <v>1</v>
      </c>
      <c r="AE77" s="1"/>
    </row>
    <row r="78" spans="1:31" ht="43.2" x14ac:dyDescent="0.25">
      <c r="A78" s="141" t="s">
        <v>124</v>
      </c>
      <c r="B78" s="104" t="s">
        <v>400</v>
      </c>
      <c r="C78" s="104"/>
      <c r="D78" s="104"/>
      <c r="E78" s="100">
        <v>3.19</v>
      </c>
      <c r="F78" s="17">
        <v>2.6</v>
      </c>
      <c r="G78" s="91"/>
      <c r="H78" s="91">
        <v>1</v>
      </c>
      <c r="I78" s="91"/>
      <c r="J78" s="91"/>
      <c r="K78" s="91"/>
      <c r="L78" s="91"/>
      <c r="M78" s="91"/>
      <c r="N78" s="91"/>
      <c r="O78" s="91"/>
      <c r="P78" s="92">
        <f t="shared" si="29"/>
        <v>8.2940000000000005</v>
      </c>
      <c r="Q78" s="50" t="s">
        <v>7</v>
      </c>
      <c r="R78" s="100">
        <f t="shared" si="30"/>
        <v>3.59</v>
      </c>
      <c r="S78" s="92">
        <f t="shared" si="47"/>
        <v>16.588000000000001</v>
      </c>
      <c r="T78" s="92"/>
      <c r="U78" s="92"/>
      <c r="V78" s="160">
        <f>H78</f>
        <v>1</v>
      </c>
      <c r="W78" s="160"/>
      <c r="X78" s="160"/>
      <c r="Y78" s="160"/>
      <c r="Z78" s="160"/>
      <c r="AA78" s="160"/>
      <c r="AB78" s="160"/>
      <c r="AC78" s="160"/>
      <c r="AD78" s="139">
        <f t="shared" si="32"/>
        <v>1</v>
      </c>
      <c r="AE78" s="1"/>
    </row>
    <row r="79" spans="1:31" ht="43.2" x14ac:dyDescent="0.25">
      <c r="A79" s="141" t="s">
        <v>124</v>
      </c>
      <c r="B79" s="104" t="s">
        <v>666</v>
      </c>
      <c r="C79" s="104"/>
      <c r="D79" s="104"/>
      <c r="E79" s="100">
        <v>3.04</v>
      </c>
      <c r="F79" s="17">
        <v>2.6</v>
      </c>
      <c r="G79" s="91"/>
      <c r="H79" s="91"/>
      <c r="I79" s="91">
        <v>1</v>
      </c>
      <c r="J79" s="91"/>
      <c r="K79" s="91"/>
      <c r="L79" s="91"/>
      <c r="M79" s="91"/>
      <c r="N79" s="91"/>
      <c r="O79" s="91"/>
      <c r="P79" s="92">
        <f t="shared" si="29"/>
        <v>7.9040000000000008</v>
      </c>
      <c r="Q79" s="50" t="s">
        <v>7</v>
      </c>
      <c r="R79" s="100">
        <f t="shared" si="30"/>
        <v>3.44</v>
      </c>
      <c r="S79" s="92">
        <f t="shared" ref="S79" si="48">2*P79</f>
        <v>15.808000000000002</v>
      </c>
      <c r="T79" s="92"/>
      <c r="U79" s="92"/>
      <c r="V79" s="160"/>
      <c r="W79" s="160">
        <f>I79</f>
        <v>1</v>
      </c>
      <c r="X79" s="160"/>
      <c r="Y79" s="160"/>
      <c r="Z79" s="160"/>
      <c r="AA79" s="160"/>
      <c r="AB79" s="160"/>
      <c r="AC79" s="160"/>
      <c r="AD79" s="139">
        <f t="shared" si="32"/>
        <v>1</v>
      </c>
      <c r="AE79" s="1"/>
    </row>
    <row r="80" spans="1:31" ht="43.2" x14ac:dyDescent="0.25">
      <c r="A80" s="141" t="s">
        <v>124</v>
      </c>
      <c r="B80" s="104" t="s">
        <v>418</v>
      </c>
      <c r="C80" s="104"/>
      <c r="D80" s="104"/>
      <c r="E80" s="100">
        <v>3.34</v>
      </c>
      <c r="F80" s="17">
        <v>2.6</v>
      </c>
      <c r="G80" s="91"/>
      <c r="H80" s="91"/>
      <c r="I80" s="91"/>
      <c r="J80" s="91"/>
      <c r="K80" s="91"/>
      <c r="L80" s="91"/>
      <c r="M80" s="91">
        <v>1</v>
      </c>
      <c r="N80" s="91">
        <v>1</v>
      </c>
      <c r="O80" s="91"/>
      <c r="P80" s="92">
        <f t="shared" si="29"/>
        <v>17.367999999999999</v>
      </c>
      <c r="Q80" s="50" t="s">
        <v>7</v>
      </c>
      <c r="R80" s="100">
        <f t="shared" si="30"/>
        <v>7.4799999999999995</v>
      </c>
      <c r="S80" s="92">
        <f t="shared" ref="S80" si="49">2*P80</f>
        <v>34.735999999999997</v>
      </c>
      <c r="T80" s="92"/>
      <c r="U80" s="92"/>
      <c r="V80" s="160"/>
      <c r="W80" s="160"/>
      <c r="X80" s="160"/>
      <c r="Y80" s="160"/>
      <c r="Z80" s="160"/>
      <c r="AA80" s="160">
        <f>M80</f>
        <v>1</v>
      </c>
      <c r="AB80" s="160">
        <f>N80</f>
        <v>1</v>
      </c>
      <c r="AC80" s="160"/>
      <c r="AD80" s="139">
        <f t="shared" si="32"/>
        <v>2</v>
      </c>
      <c r="AE80" s="1"/>
    </row>
    <row r="81" spans="1:31" ht="43.2" x14ac:dyDescent="0.25">
      <c r="A81" s="141" t="s">
        <v>660</v>
      </c>
      <c r="B81" s="104" t="s">
        <v>131</v>
      </c>
      <c r="C81" s="180">
        <f>0.05+E81*(G81+H81+I81+J81+K81+L81+M81+N81)</f>
        <v>21.200000000000003</v>
      </c>
      <c r="D81" s="104"/>
      <c r="E81" s="100">
        <v>2.35</v>
      </c>
      <c r="F81" s="17">
        <v>2.6</v>
      </c>
      <c r="G81" s="91">
        <v>1</v>
      </c>
      <c r="H81" s="91">
        <v>1</v>
      </c>
      <c r="I81" s="91">
        <v>1</v>
      </c>
      <c r="J81" s="91">
        <v>1</v>
      </c>
      <c r="K81" s="91">
        <v>1</v>
      </c>
      <c r="L81" s="91">
        <v>1</v>
      </c>
      <c r="M81" s="91">
        <v>2</v>
      </c>
      <c r="N81" s="91">
        <v>1</v>
      </c>
      <c r="O81" s="91"/>
      <c r="P81" s="92">
        <f t="shared" si="29"/>
        <v>54.99</v>
      </c>
      <c r="Q81" s="50" t="s">
        <v>7</v>
      </c>
      <c r="R81" s="100">
        <f t="shared" si="30"/>
        <v>24.75</v>
      </c>
      <c r="S81" s="92">
        <f t="shared" si="47"/>
        <v>109.98</v>
      </c>
      <c r="T81" s="92"/>
      <c r="U81" s="92">
        <f t="shared" ref="U81:Z81" si="50">G81</f>
        <v>1</v>
      </c>
      <c r="V81" s="160">
        <f t="shared" si="50"/>
        <v>1</v>
      </c>
      <c r="W81" s="160">
        <f t="shared" si="50"/>
        <v>1</v>
      </c>
      <c r="X81" s="160">
        <f t="shared" si="50"/>
        <v>1</v>
      </c>
      <c r="Y81" s="160">
        <f t="shared" si="50"/>
        <v>1</v>
      </c>
      <c r="Z81" s="160">
        <f t="shared" si="50"/>
        <v>1</v>
      </c>
      <c r="AA81" s="160">
        <f>M81</f>
        <v>2</v>
      </c>
      <c r="AB81" s="160">
        <f>N81</f>
        <v>1</v>
      </c>
      <c r="AC81" s="160"/>
      <c r="AD81" s="139">
        <f t="shared" si="32"/>
        <v>9</v>
      </c>
      <c r="AE81" s="1"/>
    </row>
    <row r="82" spans="1:31" ht="57.6" x14ac:dyDescent="0.25">
      <c r="A82" s="743" t="s">
        <v>792</v>
      </c>
      <c r="B82" s="744" t="s">
        <v>795</v>
      </c>
      <c r="C82" s="180"/>
      <c r="D82" s="104"/>
      <c r="E82" s="746">
        <v>2.35</v>
      </c>
      <c r="F82" s="747">
        <v>2.5</v>
      </c>
      <c r="G82" s="456"/>
      <c r="H82" s="751">
        <v>1</v>
      </c>
      <c r="I82" s="91"/>
      <c r="J82" s="91"/>
      <c r="K82" s="91"/>
      <c r="L82" s="91"/>
      <c r="M82" s="91"/>
      <c r="N82" s="91"/>
      <c r="O82" s="91"/>
      <c r="P82" s="92">
        <f t="shared" ref="P82" si="51">(E82*F82)*(G82+H82+I82+J82+K82+L82+M82+N82+O82)</f>
        <v>5.875</v>
      </c>
      <c r="Q82" s="50" t="s">
        <v>7</v>
      </c>
      <c r="R82" s="100">
        <f t="shared" ref="R82" si="52">(0.4+E82)*(G82+H82+I82+J82+K82+L82+M82+N82+O82)</f>
        <v>2.75</v>
      </c>
      <c r="S82" s="92">
        <f t="shared" ref="S82" si="53">2*P82</f>
        <v>11.75</v>
      </c>
      <c r="T82" s="92"/>
      <c r="U82" s="92"/>
      <c r="V82" s="160">
        <f>H82</f>
        <v>1</v>
      </c>
      <c r="W82" s="160"/>
      <c r="X82" s="160"/>
      <c r="Y82" s="160"/>
      <c r="Z82" s="160"/>
      <c r="AA82" s="160"/>
      <c r="AB82" s="160"/>
      <c r="AC82" s="160"/>
      <c r="AD82" s="139">
        <f t="shared" si="32"/>
        <v>1</v>
      </c>
      <c r="AE82" s="1"/>
    </row>
    <row r="83" spans="1:31" ht="43.2" x14ac:dyDescent="0.25">
      <c r="A83" s="141" t="s">
        <v>125</v>
      </c>
      <c r="B83" s="104" t="s">
        <v>401</v>
      </c>
      <c r="C83" s="104"/>
      <c r="D83" s="104"/>
      <c r="E83" s="100">
        <v>3.21</v>
      </c>
      <c r="F83" s="17">
        <v>2.6</v>
      </c>
      <c r="G83" s="91"/>
      <c r="H83" s="91">
        <v>1</v>
      </c>
      <c r="I83" s="91">
        <v>1</v>
      </c>
      <c r="J83" s="91"/>
      <c r="K83" s="91"/>
      <c r="L83" s="91"/>
      <c r="M83" s="91"/>
      <c r="N83" s="91"/>
      <c r="O83" s="91"/>
      <c r="P83" s="92">
        <f t="shared" si="29"/>
        <v>16.692</v>
      </c>
      <c r="Q83" s="50" t="s">
        <v>7</v>
      </c>
      <c r="R83" s="100">
        <f t="shared" si="30"/>
        <v>7.22</v>
      </c>
      <c r="S83" s="92">
        <f t="shared" si="47"/>
        <v>33.384</v>
      </c>
      <c r="T83" s="92"/>
      <c r="U83" s="92"/>
      <c r="V83" s="160">
        <f>H83</f>
        <v>1</v>
      </c>
      <c r="W83" s="160">
        <f>I83</f>
        <v>1</v>
      </c>
      <c r="X83" s="160"/>
      <c r="Y83" s="160"/>
      <c r="Z83" s="160"/>
      <c r="AA83" s="160"/>
      <c r="AB83" s="160"/>
      <c r="AC83" s="160"/>
      <c r="AD83" s="139">
        <f t="shared" si="32"/>
        <v>2</v>
      </c>
      <c r="AE83" s="1"/>
    </row>
    <row r="84" spans="1:31" ht="43.2" x14ac:dyDescent="0.25">
      <c r="A84" s="141" t="s">
        <v>125</v>
      </c>
      <c r="B84" s="104" t="s">
        <v>407</v>
      </c>
      <c r="C84" s="104"/>
      <c r="D84" s="104"/>
      <c r="E84" s="100">
        <v>3.97</v>
      </c>
      <c r="F84" s="17">
        <v>2.6</v>
      </c>
      <c r="G84" s="91"/>
      <c r="H84" s="91"/>
      <c r="I84" s="91">
        <v>1</v>
      </c>
      <c r="J84" s="91"/>
      <c r="K84" s="91"/>
      <c r="L84" s="91"/>
      <c r="M84" s="91"/>
      <c r="N84" s="91"/>
      <c r="O84" s="91"/>
      <c r="P84" s="92">
        <f t="shared" si="29"/>
        <v>10.322000000000001</v>
      </c>
      <c r="Q84" s="50" t="s">
        <v>7</v>
      </c>
      <c r="R84" s="100">
        <f t="shared" si="30"/>
        <v>4.37</v>
      </c>
      <c r="S84" s="92">
        <f t="shared" ref="S84" si="54">2*P84</f>
        <v>20.644000000000002</v>
      </c>
      <c r="T84" s="92"/>
      <c r="U84" s="92"/>
      <c r="V84" s="160"/>
      <c r="W84" s="160">
        <f>I84</f>
        <v>1</v>
      </c>
      <c r="X84" s="160"/>
      <c r="Y84" s="160"/>
      <c r="Z84" s="160"/>
      <c r="AA84" s="160"/>
      <c r="AB84" s="160"/>
      <c r="AC84" s="160"/>
      <c r="AD84" s="139">
        <f t="shared" si="32"/>
        <v>1</v>
      </c>
      <c r="AE84" s="1"/>
    </row>
    <row r="85" spans="1:31" ht="43.2" x14ac:dyDescent="0.25">
      <c r="A85" s="141" t="s">
        <v>126</v>
      </c>
      <c r="B85" s="104" t="s">
        <v>132</v>
      </c>
      <c r="C85" s="104"/>
      <c r="D85" s="104"/>
      <c r="E85" s="100">
        <v>2.5</v>
      </c>
      <c r="F85" s="17">
        <v>2.6</v>
      </c>
      <c r="G85" s="91">
        <v>1</v>
      </c>
      <c r="H85" s="91"/>
      <c r="I85" s="91"/>
      <c r="J85" s="91"/>
      <c r="K85" s="91"/>
      <c r="L85" s="91"/>
      <c r="M85" s="91"/>
      <c r="N85" s="91"/>
      <c r="O85" s="91"/>
      <c r="P85" s="92">
        <f t="shared" si="29"/>
        <v>6.5</v>
      </c>
      <c r="Q85" s="50" t="s">
        <v>7</v>
      </c>
      <c r="R85" s="100">
        <f t="shared" si="30"/>
        <v>2.9</v>
      </c>
      <c r="S85" s="92">
        <f>2*P85</f>
        <v>13</v>
      </c>
      <c r="T85" s="92"/>
      <c r="U85" s="92">
        <f>G85</f>
        <v>1</v>
      </c>
      <c r="V85" s="160"/>
      <c r="W85" s="160"/>
      <c r="X85" s="160"/>
      <c r="Y85" s="160"/>
      <c r="Z85" s="160"/>
      <c r="AA85" s="160"/>
      <c r="AB85" s="160"/>
      <c r="AC85" s="160"/>
      <c r="AD85" s="139">
        <f t="shared" si="32"/>
        <v>1</v>
      </c>
      <c r="AE85" s="1"/>
    </row>
    <row r="86" spans="1:31" ht="43.2" x14ac:dyDescent="0.25">
      <c r="A86" s="521" t="s">
        <v>851</v>
      </c>
      <c r="B86" s="104" t="s">
        <v>133</v>
      </c>
      <c r="C86" s="104"/>
      <c r="D86" s="104"/>
      <c r="E86" s="100">
        <v>3</v>
      </c>
      <c r="F86" s="17">
        <v>2.6</v>
      </c>
      <c r="G86" s="91"/>
      <c r="H86" s="91">
        <v>1</v>
      </c>
      <c r="I86" s="91">
        <v>2</v>
      </c>
      <c r="J86" s="91">
        <v>1</v>
      </c>
      <c r="K86" s="91"/>
      <c r="L86" s="91">
        <v>1</v>
      </c>
      <c r="M86" s="91"/>
      <c r="N86" s="751">
        <v>1</v>
      </c>
      <c r="O86" s="751">
        <v>1</v>
      </c>
      <c r="P86" s="92">
        <f t="shared" si="29"/>
        <v>54.600000000000009</v>
      </c>
      <c r="Q86" s="50" t="s">
        <v>7</v>
      </c>
      <c r="R86" s="100">
        <f t="shared" si="30"/>
        <v>23.8</v>
      </c>
      <c r="S86" s="92">
        <f>2*P86</f>
        <v>109.20000000000002</v>
      </c>
      <c r="T86" s="92"/>
      <c r="U86" s="92"/>
      <c r="V86" s="160">
        <f>H86</f>
        <v>1</v>
      </c>
      <c r="W86" s="160">
        <f>I86</f>
        <v>2</v>
      </c>
      <c r="X86" s="160">
        <f>J86</f>
        <v>1</v>
      </c>
      <c r="Y86" s="160"/>
      <c r="Z86" s="160">
        <f>L86</f>
        <v>1</v>
      </c>
      <c r="AA86" s="160"/>
      <c r="AB86" s="160">
        <f>N86</f>
        <v>1</v>
      </c>
      <c r="AC86" s="160">
        <f>O86</f>
        <v>1</v>
      </c>
      <c r="AD86" s="139">
        <f t="shared" si="32"/>
        <v>7</v>
      </c>
      <c r="AE86" s="1"/>
    </row>
    <row r="87" spans="1:31" ht="57.6" x14ac:dyDescent="0.25">
      <c r="A87" s="743" t="s">
        <v>123</v>
      </c>
      <c r="B87" s="744" t="s">
        <v>808</v>
      </c>
      <c r="C87" s="104"/>
      <c r="D87" s="104"/>
      <c r="E87" s="746">
        <v>3</v>
      </c>
      <c r="F87" s="747">
        <v>2.5</v>
      </c>
      <c r="G87" s="91"/>
      <c r="H87" s="751">
        <v>1</v>
      </c>
      <c r="I87" s="91"/>
      <c r="J87" s="91"/>
      <c r="K87" s="91"/>
      <c r="L87" s="91"/>
      <c r="M87" s="91"/>
      <c r="N87" s="91"/>
      <c r="O87" s="91"/>
      <c r="P87" s="92">
        <f t="shared" ref="P87:P91" si="55">(E87*F87)*(G87+H87+I87+J87+K87+L87+M87+N87+O87)</f>
        <v>7.5</v>
      </c>
      <c r="Q87" s="50" t="s">
        <v>7</v>
      </c>
      <c r="R87" s="100">
        <f t="shared" ref="R87:R91" si="56">(0.4+E87)*(G87+H87+I87+J87+K87+L87+M87+N87+O87)</f>
        <v>3.4</v>
      </c>
      <c r="S87" s="92">
        <f t="shared" ref="S87:S91" si="57">2*P87</f>
        <v>15</v>
      </c>
      <c r="T87" s="92"/>
      <c r="U87" s="92"/>
      <c r="V87" s="160">
        <f>H87</f>
        <v>1</v>
      </c>
      <c r="W87" s="160"/>
      <c r="X87" s="160"/>
      <c r="Y87" s="160"/>
      <c r="Z87" s="160"/>
      <c r="AA87" s="160"/>
      <c r="AB87" s="160"/>
      <c r="AC87" s="160"/>
      <c r="AD87" s="139">
        <f t="shared" si="32"/>
        <v>1</v>
      </c>
      <c r="AE87" s="1"/>
    </row>
    <row r="88" spans="1:31" ht="43.2" x14ac:dyDescent="0.25">
      <c r="A88" s="521" t="s">
        <v>737</v>
      </c>
      <c r="B88" s="104" t="s">
        <v>134</v>
      </c>
      <c r="C88" s="104">
        <f t="shared" ref="C88:C92" si="58">0.05+E88*(G88+H88+I88+J88+K88+L88+M88)</f>
        <v>17.05</v>
      </c>
      <c r="D88" s="104"/>
      <c r="E88" s="100">
        <v>3.4</v>
      </c>
      <c r="F88" s="17">
        <v>2.6</v>
      </c>
      <c r="G88" s="91">
        <v>1</v>
      </c>
      <c r="H88" s="91">
        <v>1</v>
      </c>
      <c r="I88" s="91"/>
      <c r="J88" s="91">
        <v>1</v>
      </c>
      <c r="K88" s="91">
        <v>1</v>
      </c>
      <c r="L88" s="91">
        <v>1</v>
      </c>
      <c r="M88" s="91"/>
      <c r="N88" s="751">
        <v>1</v>
      </c>
      <c r="O88" s="91">
        <v>1</v>
      </c>
      <c r="P88" s="92">
        <f t="shared" si="55"/>
        <v>61.879999999999995</v>
      </c>
      <c r="Q88" s="50" t="s">
        <v>7</v>
      </c>
      <c r="R88" s="100">
        <f t="shared" si="56"/>
        <v>26.599999999999998</v>
      </c>
      <c r="S88" s="92">
        <f t="shared" si="57"/>
        <v>123.75999999999999</v>
      </c>
      <c r="T88" s="92"/>
      <c r="U88" s="92">
        <f>G88</f>
        <v>1</v>
      </c>
      <c r="V88" s="160">
        <f>H88</f>
        <v>1</v>
      </c>
      <c r="W88" s="160"/>
      <c r="X88" s="160">
        <f>J88</f>
        <v>1</v>
      </c>
      <c r="Y88" s="160">
        <f>K88</f>
        <v>1</v>
      </c>
      <c r="Z88" s="160">
        <f>L88</f>
        <v>1</v>
      </c>
      <c r="AA88" s="160"/>
      <c r="AB88" s="160">
        <f>N88</f>
        <v>1</v>
      </c>
      <c r="AC88" s="160">
        <f>O88</f>
        <v>1</v>
      </c>
      <c r="AD88" s="139">
        <f t="shared" si="32"/>
        <v>7</v>
      </c>
      <c r="AE88" s="1"/>
    </row>
    <row r="89" spans="1:31" ht="57.6" x14ac:dyDescent="0.25">
      <c r="A89" s="755" t="s">
        <v>124</v>
      </c>
      <c r="B89" s="744" t="s">
        <v>809</v>
      </c>
      <c r="C89" s="104"/>
      <c r="D89" s="104"/>
      <c r="E89" s="746">
        <v>3.4</v>
      </c>
      <c r="F89" s="747">
        <v>2.5</v>
      </c>
      <c r="G89" s="91"/>
      <c r="H89" s="751">
        <v>2</v>
      </c>
      <c r="I89" s="91"/>
      <c r="J89" s="91"/>
      <c r="K89" s="91"/>
      <c r="L89" s="91"/>
      <c r="M89" s="91"/>
      <c r="N89" s="91"/>
      <c r="O89" s="91"/>
      <c r="P89" s="92">
        <f t="shared" si="55"/>
        <v>17</v>
      </c>
      <c r="Q89" s="50" t="s">
        <v>7</v>
      </c>
      <c r="R89" s="100">
        <f t="shared" si="56"/>
        <v>7.6</v>
      </c>
      <c r="S89" s="92">
        <f t="shared" si="57"/>
        <v>34</v>
      </c>
      <c r="T89" s="92"/>
      <c r="U89" s="92"/>
      <c r="V89" s="160">
        <f>H89</f>
        <v>2</v>
      </c>
      <c r="W89" s="160"/>
      <c r="X89" s="160"/>
      <c r="Y89" s="160"/>
      <c r="Z89" s="160"/>
      <c r="AA89" s="160"/>
      <c r="AB89" s="160"/>
      <c r="AC89" s="160"/>
      <c r="AD89" s="139">
        <f t="shared" si="32"/>
        <v>2</v>
      </c>
      <c r="AE89" s="1"/>
    </row>
    <row r="90" spans="1:31" ht="57.6" x14ac:dyDescent="0.25">
      <c r="A90" s="755" t="s">
        <v>124</v>
      </c>
      <c r="B90" s="744" t="s">
        <v>817</v>
      </c>
      <c r="C90" s="104"/>
      <c r="D90" s="104"/>
      <c r="E90" s="746">
        <v>3.22</v>
      </c>
      <c r="F90" s="747">
        <v>1.9</v>
      </c>
      <c r="G90" s="91"/>
      <c r="H90" s="456"/>
      <c r="I90" s="751">
        <v>1</v>
      </c>
      <c r="J90" s="91"/>
      <c r="K90" s="91"/>
      <c r="L90" s="91"/>
      <c r="M90" s="91"/>
      <c r="N90" s="91"/>
      <c r="O90" s="91"/>
      <c r="P90" s="92">
        <f t="shared" si="55"/>
        <v>6.1180000000000003</v>
      </c>
      <c r="Q90" s="50" t="s">
        <v>7</v>
      </c>
      <c r="R90" s="100">
        <f t="shared" si="56"/>
        <v>3.62</v>
      </c>
      <c r="S90" s="92">
        <f t="shared" si="57"/>
        <v>12.236000000000001</v>
      </c>
      <c r="T90" s="92"/>
      <c r="U90" s="92"/>
      <c r="V90" s="160"/>
      <c r="W90" s="160">
        <f>I90</f>
        <v>1</v>
      </c>
      <c r="X90" s="160"/>
      <c r="Y90" s="160"/>
      <c r="Z90" s="160"/>
      <c r="AA90" s="160"/>
      <c r="AB90" s="160"/>
      <c r="AC90" s="160"/>
      <c r="AD90" s="139">
        <f t="shared" si="32"/>
        <v>1</v>
      </c>
      <c r="AE90" s="1"/>
    </row>
    <row r="91" spans="1:31" ht="57.6" x14ac:dyDescent="0.25">
      <c r="A91" s="757" t="s">
        <v>125</v>
      </c>
      <c r="B91" s="758" t="s">
        <v>810</v>
      </c>
      <c r="C91" s="104"/>
      <c r="D91" s="104"/>
      <c r="E91" s="759">
        <v>3.22</v>
      </c>
      <c r="F91" s="760">
        <v>1.9</v>
      </c>
      <c r="G91" s="91"/>
      <c r="H91" s="456"/>
      <c r="I91" s="761">
        <v>1</v>
      </c>
      <c r="J91" s="91"/>
      <c r="K91" s="91"/>
      <c r="L91" s="91"/>
      <c r="M91" s="91"/>
      <c r="N91" s="91"/>
      <c r="O91" s="91"/>
      <c r="P91" s="92">
        <f t="shared" si="55"/>
        <v>6.1180000000000003</v>
      </c>
      <c r="Q91" s="50" t="s">
        <v>7</v>
      </c>
      <c r="R91" s="100">
        <f t="shared" si="56"/>
        <v>3.62</v>
      </c>
      <c r="S91" s="92">
        <f t="shared" si="57"/>
        <v>12.236000000000001</v>
      </c>
      <c r="T91" s="92"/>
      <c r="U91" s="92"/>
      <c r="V91" s="160"/>
      <c r="W91" s="160">
        <f>I91</f>
        <v>1</v>
      </c>
      <c r="X91" s="160"/>
      <c r="Y91" s="160"/>
      <c r="Z91" s="160"/>
      <c r="AA91" s="160"/>
      <c r="AB91" s="160"/>
      <c r="AC91" s="160"/>
      <c r="AD91" s="139">
        <f t="shared" si="32"/>
        <v>1</v>
      </c>
      <c r="AE91" s="1"/>
    </row>
    <row r="92" spans="1:31" ht="28.8" x14ac:dyDescent="0.25">
      <c r="A92" s="141" t="s">
        <v>127</v>
      </c>
      <c r="B92" s="104" t="s">
        <v>135</v>
      </c>
      <c r="C92" s="104">
        <f t="shared" si="58"/>
        <v>5.05</v>
      </c>
      <c r="D92" s="104"/>
      <c r="E92" s="100">
        <v>5</v>
      </c>
      <c r="F92" s="17">
        <v>2.5</v>
      </c>
      <c r="G92" s="91">
        <v>1</v>
      </c>
      <c r="H92" s="91"/>
      <c r="I92" s="91"/>
      <c r="J92" s="91"/>
      <c r="K92" s="91"/>
      <c r="L92" s="91"/>
      <c r="M92" s="91"/>
      <c r="N92" s="91"/>
      <c r="O92" s="91"/>
      <c r="P92" s="92">
        <f t="shared" si="29"/>
        <v>12.5</v>
      </c>
      <c r="Q92" s="50" t="s">
        <v>7</v>
      </c>
      <c r="R92" s="100">
        <f t="shared" si="30"/>
        <v>5.4</v>
      </c>
      <c r="S92" s="92">
        <f>2*P92</f>
        <v>25</v>
      </c>
      <c r="T92" s="92"/>
      <c r="U92" s="92">
        <f>G92</f>
        <v>1</v>
      </c>
      <c r="V92" s="160"/>
      <c r="W92" s="160"/>
      <c r="X92" s="160"/>
      <c r="Y92" s="160"/>
      <c r="Z92" s="160"/>
      <c r="AA92" s="160"/>
      <c r="AB92" s="160"/>
      <c r="AC92" s="160"/>
      <c r="AD92" s="139">
        <f t="shared" si="32"/>
        <v>1</v>
      </c>
      <c r="AE92" s="1"/>
    </row>
    <row r="93" spans="1:31" ht="19.95" customHeight="1" x14ac:dyDescent="0.25">
      <c r="A93" s="141"/>
      <c r="B93" s="76" t="s">
        <v>39</v>
      </c>
      <c r="C93" s="51">
        <f>SUM(C61:C92)</f>
        <v>55.19</v>
      </c>
      <c r="D93" s="51"/>
      <c r="E93" s="19"/>
      <c r="F93" s="19"/>
      <c r="G93" s="167" t="s">
        <v>50</v>
      </c>
      <c r="H93" s="167" t="s">
        <v>93</v>
      </c>
      <c r="I93" s="167" t="s">
        <v>94</v>
      </c>
      <c r="J93" s="167" t="s">
        <v>95</v>
      </c>
      <c r="K93" s="167" t="s">
        <v>96</v>
      </c>
      <c r="L93" s="167" t="s">
        <v>97</v>
      </c>
      <c r="M93" s="167" t="s">
        <v>98</v>
      </c>
      <c r="N93" s="167" t="s">
        <v>646</v>
      </c>
      <c r="O93" s="165" t="s">
        <v>735</v>
      </c>
      <c r="P93" s="19"/>
      <c r="Q93" s="23" t="s">
        <v>7</v>
      </c>
      <c r="R93" s="99">
        <f>SUM(R61:R92)</f>
        <v>265.64</v>
      </c>
      <c r="S93" s="99">
        <f>SUM(S61:S92)</f>
        <v>1066.2120000000002</v>
      </c>
      <c r="T93" s="99"/>
      <c r="U93" s="164" t="s">
        <v>99</v>
      </c>
      <c r="V93" s="164" t="s">
        <v>100</v>
      </c>
      <c r="W93" s="164" t="s">
        <v>101</v>
      </c>
      <c r="X93" s="164" t="s">
        <v>102</v>
      </c>
      <c r="Y93" s="164" t="s">
        <v>103</v>
      </c>
      <c r="Z93" s="164" t="s">
        <v>104</v>
      </c>
      <c r="AA93" s="164" t="s">
        <v>105</v>
      </c>
      <c r="AB93" s="164" t="s">
        <v>616</v>
      </c>
      <c r="AC93" s="164" t="s">
        <v>727</v>
      </c>
      <c r="AD93" s="99"/>
      <c r="AE93" s="1"/>
    </row>
    <row r="94" spans="1:31" ht="25.05" customHeight="1" x14ac:dyDescent="0.25">
      <c r="B94" s="823" t="s">
        <v>1</v>
      </c>
      <c r="C94" s="102" t="s">
        <v>46</v>
      </c>
      <c r="D94" s="102" t="s">
        <v>47</v>
      </c>
      <c r="E94" s="68" t="s">
        <v>4</v>
      </c>
      <c r="F94" s="68" t="s">
        <v>40</v>
      </c>
      <c r="G94" s="140" t="s">
        <v>42</v>
      </c>
      <c r="H94" s="140" t="s">
        <v>42</v>
      </c>
      <c r="I94" s="140" t="s">
        <v>42</v>
      </c>
      <c r="J94" s="140" t="s">
        <v>42</v>
      </c>
      <c r="K94" s="140" t="s">
        <v>42</v>
      </c>
      <c r="L94" s="140" t="s">
        <v>42</v>
      </c>
      <c r="M94" s="140" t="s">
        <v>42</v>
      </c>
      <c r="N94" s="140" t="s">
        <v>42</v>
      </c>
      <c r="O94" s="140" t="s">
        <v>42</v>
      </c>
      <c r="P94" s="67" t="s">
        <v>5</v>
      </c>
      <c r="Q94" s="823" t="s">
        <v>7</v>
      </c>
      <c r="R94" s="68" t="s">
        <v>37</v>
      </c>
      <c r="S94" s="103" t="s">
        <v>153</v>
      </c>
      <c r="T94" s="138" t="s">
        <v>48</v>
      </c>
      <c r="U94" s="831" t="s">
        <v>50</v>
      </c>
      <c r="V94" s="830" t="s">
        <v>93</v>
      </c>
      <c r="W94" s="830" t="s">
        <v>94</v>
      </c>
      <c r="X94" s="830" t="s">
        <v>95</v>
      </c>
      <c r="Y94" s="830" t="s">
        <v>96</v>
      </c>
      <c r="Z94" s="830" t="s">
        <v>97</v>
      </c>
      <c r="AA94" s="830" t="s">
        <v>98</v>
      </c>
      <c r="AB94" s="830" t="s">
        <v>646</v>
      </c>
      <c r="AC94" s="830" t="s">
        <v>735</v>
      </c>
      <c r="AD94" s="875" t="s">
        <v>8</v>
      </c>
      <c r="AE94" s="1"/>
    </row>
    <row r="95" spans="1:31" ht="14.4" x14ac:dyDescent="0.3">
      <c r="B95" s="823"/>
      <c r="C95" s="81" t="s">
        <v>10</v>
      </c>
      <c r="D95" s="81" t="s">
        <v>10</v>
      </c>
      <c r="E95" s="81" t="s">
        <v>10</v>
      </c>
      <c r="F95" s="81" t="s">
        <v>10</v>
      </c>
      <c r="G95" s="80" t="s">
        <v>9</v>
      </c>
      <c r="H95" s="80" t="s">
        <v>9</v>
      </c>
      <c r="I95" s="80" t="s">
        <v>9</v>
      </c>
      <c r="J95" s="80" t="s">
        <v>9</v>
      </c>
      <c r="K95" s="80" t="s">
        <v>9</v>
      </c>
      <c r="L95" s="80" t="s">
        <v>9</v>
      </c>
      <c r="M95" s="80" t="s">
        <v>9</v>
      </c>
      <c r="N95" s="80" t="s">
        <v>9</v>
      </c>
      <c r="O95" s="80" t="s">
        <v>9</v>
      </c>
      <c r="P95" s="82" t="s">
        <v>11</v>
      </c>
      <c r="Q95" s="823"/>
      <c r="R95" s="81" t="s">
        <v>10</v>
      </c>
      <c r="S95" s="81" t="s">
        <v>11</v>
      </c>
      <c r="T95" s="81" t="s">
        <v>11</v>
      </c>
      <c r="U95" s="830"/>
      <c r="V95" s="831"/>
      <c r="W95" s="831"/>
      <c r="X95" s="831"/>
      <c r="Y95" s="831"/>
      <c r="Z95" s="831"/>
      <c r="AA95" s="831"/>
      <c r="AB95" s="831"/>
      <c r="AC95" s="831"/>
      <c r="AD95" s="876"/>
      <c r="AE95" s="1"/>
    </row>
    <row r="96" spans="1:31" ht="14.4" x14ac:dyDescent="0.25">
      <c r="B96" s="93" t="s">
        <v>136</v>
      </c>
      <c r="C96" s="143"/>
      <c r="D96" s="143"/>
      <c r="E96" s="94"/>
      <c r="F96" s="95"/>
      <c r="G96" s="96"/>
      <c r="H96" s="96"/>
      <c r="I96" s="96"/>
      <c r="J96" s="96"/>
      <c r="K96" s="96"/>
      <c r="L96" s="96"/>
      <c r="M96" s="96"/>
      <c r="N96" s="96"/>
      <c r="O96" s="96"/>
      <c r="P96" s="97"/>
      <c r="Q96" s="98"/>
      <c r="R96" s="94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1"/>
    </row>
    <row r="97" spans="1:31" ht="40.049999999999997" customHeight="1" x14ac:dyDescent="0.25">
      <c r="A97" s="141" t="s">
        <v>137</v>
      </c>
      <c r="B97" s="104" t="s">
        <v>410</v>
      </c>
      <c r="C97" s="104">
        <f>0.05+E97*(G97+H97+I97+J97+K97)</f>
        <v>7.8500000000000005</v>
      </c>
      <c r="D97" s="104"/>
      <c r="E97" s="100">
        <v>1.3</v>
      </c>
      <c r="F97" s="17">
        <v>2.1</v>
      </c>
      <c r="G97" s="91">
        <v>2</v>
      </c>
      <c r="H97" s="91"/>
      <c r="I97" s="91">
        <v>1</v>
      </c>
      <c r="J97" s="753">
        <v>3</v>
      </c>
      <c r="K97" s="91"/>
      <c r="L97" s="91">
        <v>2</v>
      </c>
      <c r="M97" s="91">
        <v>1</v>
      </c>
      <c r="N97" s="91"/>
      <c r="O97" s="91"/>
      <c r="P97" s="92">
        <f t="shared" ref="P97:P99" si="59">(E97*F97)*(G97+H97+I97+J97+K97+L97+M97+N97+O97)</f>
        <v>24.570000000000004</v>
      </c>
      <c r="Q97" s="50" t="s">
        <v>7</v>
      </c>
      <c r="R97" s="100">
        <f t="shared" ref="R97:R99" si="60">(0.4+E97)*(G97+H97+I97+J97+K97+L97+M97+N97+O97)</f>
        <v>15.3</v>
      </c>
      <c r="S97" s="92">
        <f>2.5*P97</f>
        <v>61.425000000000011</v>
      </c>
      <c r="T97" s="92"/>
      <c r="U97" s="92">
        <f>G97</f>
        <v>2</v>
      </c>
      <c r="V97" s="160"/>
      <c r="W97" s="160">
        <f>I97</f>
        <v>1</v>
      </c>
      <c r="X97" s="160">
        <f>J97</f>
        <v>3</v>
      </c>
      <c r="Y97" s="160"/>
      <c r="Z97" s="160">
        <f>L97</f>
        <v>2</v>
      </c>
      <c r="AA97" s="160">
        <f>M97</f>
        <v>1</v>
      </c>
      <c r="AB97" s="160"/>
      <c r="AC97" s="160"/>
      <c r="AD97" s="139">
        <f t="shared" ref="AD97:AD99" si="61">SUM(U97:AC97)</f>
        <v>9</v>
      </c>
      <c r="AE97" s="1"/>
    </row>
    <row r="98" spans="1:31" ht="40.049999999999997" customHeight="1" x14ac:dyDescent="0.25">
      <c r="A98" s="141" t="s">
        <v>408</v>
      </c>
      <c r="B98" s="104" t="s">
        <v>411</v>
      </c>
      <c r="C98" s="104"/>
      <c r="D98" s="104"/>
      <c r="E98" s="100">
        <v>1.6</v>
      </c>
      <c r="F98" s="17">
        <v>2.1</v>
      </c>
      <c r="G98" s="91"/>
      <c r="H98" s="91"/>
      <c r="I98" s="91">
        <v>1</v>
      </c>
      <c r="J98" s="91"/>
      <c r="K98" s="91"/>
      <c r="L98" s="91"/>
      <c r="M98" s="91"/>
      <c r="N98" s="91"/>
      <c r="O98" s="91"/>
      <c r="P98" s="92">
        <f t="shared" si="59"/>
        <v>3.3600000000000003</v>
      </c>
      <c r="Q98" s="50" t="s">
        <v>7</v>
      </c>
      <c r="R98" s="100">
        <f t="shared" si="60"/>
        <v>2</v>
      </c>
      <c r="S98" s="92">
        <f t="shared" ref="S98:S99" si="62">2.5*P98</f>
        <v>8.4</v>
      </c>
      <c r="T98" s="92"/>
      <c r="U98" s="92"/>
      <c r="V98" s="160"/>
      <c r="W98" s="92">
        <f>I98</f>
        <v>1</v>
      </c>
      <c r="X98" s="160"/>
      <c r="Y98" s="160"/>
      <c r="Z98" s="160"/>
      <c r="AA98" s="160"/>
      <c r="AB98" s="160"/>
      <c r="AC98" s="160"/>
      <c r="AD98" s="139">
        <f t="shared" si="61"/>
        <v>1</v>
      </c>
      <c r="AE98" s="1"/>
    </row>
    <row r="99" spans="1:31" ht="40.049999999999997" customHeight="1" x14ac:dyDescent="0.25">
      <c r="A99" s="141" t="s">
        <v>409</v>
      </c>
      <c r="B99" s="104" t="s">
        <v>412</v>
      </c>
      <c r="C99" s="104"/>
      <c r="D99" s="104"/>
      <c r="E99" s="100">
        <v>8.35</v>
      </c>
      <c r="F99" s="17">
        <v>3</v>
      </c>
      <c r="G99" s="91"/>
      <c r="H99" s="91"/>
      <c r="I99" s="91">
        <v>1</v>
      </c>
      <c r="J99" s="91"/>
      <c r="K99" s="91"/>
      <c r="L99" s="91"/>
      <c r="M99" s="91"/>
      <c r="N99" s="91"/>
      <c r="O99" s="91"/>
      <c r="P99" s="92">
        <f t="shared" si="59"/>
        <v>25.049999999999997</v>
      </c>
      <c r="Q99" s="50" t="s">
        <v>7</v>
      </c>
      <c r="R99" s="100">
        <f t="shared" si="60"/>
        <v>8.75</v>
      </c>
      <c r="S99" s="92">
        <f t="shared" si="62"/>
        <v>62.624999999999993</v>
      </c>
      <c r="T99" s="92"/>
      <c r="U99" s="92"/>
      <c r="V99" s="160"/>
      <c r="W99" s="92">
        <f>I99</f>
        <v>1</v>
      </c>
      <c r="X99" s="160"/>
      <c r="Y99" s="160"/>
      <c r="Z99" s="160"/>
      <c r="AA99" s="160"/>
      <c r="AB99" s="160"/>
      <c r="AC99" s="160"/>
      <c r="AD99" s="139">
        <f t="shared" si="61"/>
        <v>1</v>
      </c>
      <c r="AE99" s="1"/>
    </row>
    <row r="100" spans="1:31" ht="19.95" customHeight="1" x14ac:dyDescent="0.25">
      <c r="B100" s="76" t="s">
        <v>39</v>
      </c>
      <c r="C100" s="51">
        <f>SUM(C97:C99)</f>
        <v>7.8500000000000005</v>
      </c>
      <c r="D100" s="51"/>
      <c r="E100" s="19"/>
      <c r="F100" s="19"/>
      <c r="G100" s="167" t="s">
        <v>50</v>
      </c>
      <c r="H100" s="167" t="s">
        <v>93</v>
      </c>
      <c r="I100" s="167" t="s">
        <v>94</v>
      </c>
      <c r="J100" s="167" t="s">
        <v>95</v>
      </c>
      <c r="K100" s="167" t="s">
        <v>96</v>
      </c>
      <c r="L100" s="167" t="s">
        <v>97</v>
      </c>
      <c r="M100" s="167" t="s">
        <v>98</v>
      </c>
      <c r="N100" s="167" t="s">
        <v>646</v>
      </c>
      <c r="O100" s="167" t="s">
        <v>735</v>
      </c>
      <c r="P100" s="19"/>
      <c r="Q100" s="23" t="s">
        <v>7</v>
      </c>
      <c r="R100" s="99">
        <f>SUM(R97:R99)</f>
        <v>26.05</v>
      </c>
      <c r="S100" s="99">
        <f>SUM(S97:S99)</f>
        <v>132.45000000000002</v>
      </c>
      <c r="T100" s="99"/>
      <c r="U100" s="164" t="s">
        <v>99</v>
      </c>
      <c r="V100" s="164" t="s">
        <v>100</v>
      </c>
      <c r="W100" s="164" t="s">
        <v>101</v>
      </c>
      <c r="X100" s="164" t="s">
        <v>102</v>
      </c>
      <c r="Y100" s="164" t="s">
        <v>103</v>
      </c>
      <c r="Z100" s="164" t="s">
        <v>104</v>
      </c>
      <c r="AA100" s="164" t="s">
        <v>105</v>
      </c>
      <c r="AB100" s="164" t="s">
        <v>616</v>
      </c>
      <c r="AC100" s="164" t="s">
        <v>727</v>
      </c>
      <c r="AD100" s="99"/>
      <c r="AE100" s="1"/>
    </row>
    <row r="101" spans="1:31" ht="25.05" customHeight="1" x14ac:dyDescent="0.25">
      <c r="B101" s="823" t="s">
        <v>1</v>
      </c>
      <c r="C101" s="102" t="s">
        <v>46</v>
      </c>
      <c r="D101" s="102" t="s">
        <v>47</v>
      </c>
      <c r="E101" s="68" t="s">
        <v>4</v>
      </c>
      <c r="F101" s="68" t="s">
        <v>40</v>
      </c>
      <c r="G101" s="140" t="s">
        <v>42</v>
      </c>
      <c r="H101" s="140" t="s">
        <v>42</v>
      </c>
      <c r="I101" s="140" t="s">
        <v>42</v>
      </c>
      <c r="J101" s="140" t="s">
        <v>42</v>
      </c>
      <c r="K101" s="140" t="s">
        <v>42</v>
      </c>
      <c r="L101" s="140" t="s">
        <v>42</v>
      </c>
      <c r="M101" s="140" t="s">
        <v>42</v>
      </c>
      <c r="N101" s="140" t="s">
        <v>42</v>
      </c>
      <c r="O101" s="140" t="s">
        <v>42</v>
      </c>
      <c r="P101" s="67" t="s">
        <v>5</v>
      </c>
      <c r="Q101" s="823" t="s">
        <v>7</v>
      </c>
      <c r="R101" s="68" t="s">
        <v>37</v>
      </c>
      <c r="S101" s="103" t="s">
        <v>153</v>
      </c>
      <c r="T101" s="138" t="s">
        <v>48</v>
      </c>
      <c r="U101" s="831" t="s">
        <v>50</v>
      </c>
      <c r="V101" s="830" t="s">
        <v>93</v>
      </c>
      <c r="W101" s="830" t="s">
        <v>94</v>
      </c>
      <c r="X101" s="830" t="s">
        <v>95</v>
      </c>
      <c r="Y101" s="830" t="s">
        <v>96</v>
      </c>
      <c r="Z101" s="830" t="s">
        <v>97</v>
      </c>
      <c r="AA101" s="830" t="s">
        <v>98</v>
      </c>
      <c r="AB101" s="830" t="s">
        <v>646</v>
      </c>
      <c r="AC101" s="830" t="s">
        <v>735</v>
      </c>
      <c r="AD101" s="875" t="s">
        <v>8</v>
      </c>
      <c r="AE101" s="1"/>
    </row>
    <row r="102" spans="1:31" ht="14.4" x14ac:dyDescent="0.3">
      <c r="B102" s="823"/>
      <c r="C102" s="81" t="s">
        <v>10</v>
      </c>
      <c r="D102" s="81" t="s">
        <v>10</v>
      </c>
      <c r="E102" s="81" t="s">
        <v>10</v>
      </c>
      <c r="F102" s="81" t="s">
        <v>10</v>
      </c>
      <c r="G102" s="80" t="s">
        <v>9</v>
      </c>
      <c r="H102" s="80" t="s">
        <v>9</v>
      </c>
      <c r="I102" s="80" t="s">
        <v>9</v>
      </c>
      <c r="J102" s="80" t="s">
        <v>9</v>
      </c>
      <c r="K102" s="80" t="s">
        <v>9</v>
      </c>
      <c r="L102" s="80" t="s">
        <v>9</v>
      </c>
      <c r="M102" s="80" t="s">
        <v>9</v>
      </c>
      <c r="N102" s="80" t="s">
        <v>9</v>
      </c>
      <c r="O102" s="80" t="s">
        <v>9</v>
      </c>
      <c r="P102" s="82" t="s">
        <v>11</v>
      </c>
      <c r="Q102" s="823"/>
      <c r="R102" s="81" t="s">
        <v>10</v>
      </c>
      <c r="S102" s="81" t="s">
        <v>11</v>
      </c>
      <c r="T102" s="81" t="s">
        <v>11</v>
      </c>
      <c r="U102" s="830"/>
      <c r="V102" s="831"/>
      <c r="W102" s="831"/>
      <c r="X102" s="831"/>
      <c r="Y102" s="831"/>
      <c r="Z102" s="831"/>
      <c r="AA102" s="831"/>
      <c r="AB102" s="831"/>
      <c r="AC102" s="831"/>
      <c r="AD102" s="876"/>
      <c r="AE102" s="1"/>
    </row>
    <row r="103" spans="1:31" ht="14.4" x14ac:dyDescent="0.25">
      <c r="B103" s="93" t="s">
        <v>139</v>
      </c>
      <c r="C103" s="143"/>
      <c r="D103" s="143"/>
      <c r="E103" s="94"/>
      <c r="F103" s="95"/>
      <c r="G103" s="96"/>
      <c r="H103" s="96"/>
      <c r="I103" s="96"/>
      <c r="J103" s="96"/>
      <c r="K103" s="96"/>
      <c r="L103" s="96"/>
      <c r="M103" s="96"/>
      <c r="N103" s="96"/>
      <c r="O103" s="96"/>
      <c r="P103" s="97"/>
      <c r="Q103" s="98"/>
      <c r="R103" s="94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1"/>
    </row>
    <row r="104" spans="1:31" ht="40.049999999999997" customHeight="1" x14ac:dyDescent="0.25">
      <c r="A104" s="141" t="s">
        <v>140</v>
      </c>
      <c r="B104" s="104" t="s">
        <v>142</v>
      </c>
      <c r="C104" s="104">
        <f t="shared" ref="C104" si="63">0.05+E104*(G104+H104+I104+J104+K104+L104+M104)</f>
        <v>1.85</v>
      </c>
      <c r="D104" s="104"/>
      <c r="E104" s="100">
        <v>0.9</v>
      </c>
      <c r="F104" s="17">
        <v>2.1</v>
      </c>
      <c r="G104" s="91">
        <v>1</v>
      </c>
      <c r="H104" s="91">
        <v>1</v>
      </c>
      <c r="I104" s="91"/>
      <c r="J104" s="91"/>
      <c r="K104" s="91"/>
      <c r="L104" s="91"/>
      <c r="M104" s="91"/>
      <c r="N104" s="91"/>
      <c r="O104" s="91"/>
      <c r="P104" s="92">
        <f t="shared" ref="P104:P109" si="64">(E104*F104)*(G104+H104+I104+J104+K104+L104+M104+N104+O104)</f>
        <v>3.7800000000000002</v>
      </c>
      <c r="Q104" s="50" t="s">
        <v>7</v>
      </c>
      <c r="R104" s="100">
        <f t="shared" ref="R104:R109" si="65">(0.4+E104)*(G104+H104+I104+J104+K104+L104+M104+N104+O104)</f>
        <v>2.6</v>
      </c>
      <c r="S104" s="92">
        <f>2.5*P104</f>
        <v>9.4500000000000011</v>
      </c>
      <c r="T104" s="92"/>
      <c r="U104" s="92">
        <f>G104</f>
        <v>1</v>
      </c>
      <c r="V104" s="160">
        <f>H104</f>
        <v>1</v>
      </c>
      <c r="W104" s="160"/>
      <c r="X104" s="160"/>
      <c r="Y104" s="160"/>
      <c r="Z104" s="160"/>
      <c r="AA104" s="160"/>
      <c r="AB104" s="160"/>
      <c r="AC104" s="160"/>
      <c r="AD104" s="139">
        <f t="shared" ref="AD104:AD109" si="66">SUM(U104:AC104)</f>
        <v>2</v>
      </c>
      <c r="AE104" s="1"/>
    </row>
    <row r="105" spans="1:31" ht="40.049999999999997" customHeight="1" x14ac:dyDescent="0.25">
      <c r="A105" s="141" t="s">
        <v>140</v>
      </c>
      <c r="B105" s="104" t="s">
        <v>413</v>
      </c>
      <c r="C105" s="104"/>
      <c r="D105" s="104"/>
      <c r="E105" s="100">
        <v>1</v>
      </c>
      <c r="F105" s="17">
        <v>2.1</v>
      </c>
      <c r="G105" s="91"/>
      <c r="H105" s="91"/>
      <c r="I105" s="91">
        <v>1</v>
      </c>
      <c r="J105" s="91">
        <v>1</v>
      </c>
      <c r="K105" s="91"/>
      <c r="L105" s="91"/>
      <c r="M105" s="91"/>
      <c r="N105" s="91"/>
      <c r="O105" s="91"/>
      <c r="P105" s="92">
        <f t="shared" si="64"/>
        <v>4.2</v>
      </c>
      <c r="Q105" s="50" t="s">
        <v>7</v>
      </c>
      <c r="R105" s="100">
        <f t="shared" si="65"/>
        <v>2.8</v>
      </c>
      <c r="S105" s="92">
        <f>2.5*P105</f>
        <v>10.5</v>
      </c>
      <c r="T105" s="92"/>
      <c r="U105" s="92"/>
      <c r="V105" s="160"/>
      <c r="W105" s="160">
        <f>I105</f>
        <v>1</v>
      </c>
      <c r="X105" s="160">
        <f>J105</f>
        <v>1</v>
      </c>
      <c r="Y105" s="160"/>
      <c r="Z105" s="160"/>
      <c r="AA105" s="160"/>
      <c r="AB105" s="160"/>
      <c r="AC105" s="160"/>
      <c r="AD105" s="139">
        <f t="shared" si="66"/>
        <v>2</v>
      </c>
      <c r="AE105" s="1"/>
    </row>
    <row r="106" spans="1:31" ht="40.049999999999997" customHeight="1" x14ac:dyDescent="0.25">
      <c r="A106" s="141" t="s">
        <v>140</v>
      </c>
      <c r="B106" s="104" t="s">
        <v>738</v>
      </c>
      <c r="C106" s="104"/>
      <c r="D106" s="104"/>
      <c r="E106" s="100">
        <v>1.2</v>
      </c>
      <c r="F106" s="17">
        <v>2.1</v>
      </c>
      <c r="G106" s="91"/>
      <c r="H106" s="91"/>
      <c r="I106" s="91"/>
      <c r="J106" s="91"/>
      <c r="K106" s="91"/>
      <c r="L106" s="91"/>
      <c r="M106" s="91"/>
      <c r="N106" s="91"/>
      <c r="O106" s="91">
        <v>1</v>
      </c>
      <c r="P106" s="92">
        <f t="shared" si="64"/>
        <v>2.52</v>
      </c>
      <c r="Q106" s="50" t="s">
        <v>7</v>
      </c>
      <c r="R106" s="100">
        <f t="shared" si="65"/>
        <v>1.6</v>
      </c>
      <c r="S106" s="92">
        <f>2.5*P106</f>
        <v>6.3</v>
      </c>
      <c r="T106" s="92"/>
      <c r="U106" s="92"/>
      <c r="V106" s="160"/>
      <c r="W106" s="160"/>
      <c r="X106" s="160"/>
      <c r="Y106" s="160"/>
      <c r="Z106" s="160"/>
      <c r="AA106" s="160"/>
      <c r="AB106" s="160"/>
      <c r="AC106" s="160">
        <f>O106</f>
        <v>1</v>
      </c>
      <c r="AD106" s="139">
        <f t="shared" si="66"/>
        <v>1</v>
      </c>
      <c r="AE106" s="1"/>
    </row>
    <row r="107" spans="1:31" ht="40.049999999999997" customHeight="1" x14ac:dyDescent="0.25">
      <c r="A107" s="141" t="s">
        <v>141</v>
      </c>
      <c r="B107" s="104" t="s">
        <v>143</v>
      </c>
      <c r="C107" s="104"/>
      <c r="D107" s="104"/>
      <c r="E107" s="100">
        <v>1.9</v>
      </c>
      <c r="F107" s="17">
        <v>2.1</v>
      </c>
      <c r="G107" s="91">
        <v>1</v>
      </c>
      <c r="H107" s="91"/>
      <c r="I107" s="91"/>
      <c r="J107" s="91"/>
      <c r="K107" s="91"/>
      <c r="L107" s="91"/>
      <c r="M107" s="91"/>
      <c r="N107" s="91"/>
      <c r="O107" s="91"/>
      <c r="P107" s="92">
        <f t="shared" si="64"/>
        <v>3.9899999999999998</v>
      </c>
      <c r="Q107" s="50" t="s">
        <v>7</v>
      </c>
      <c r="R107" s="100">
        <f t="shared" si="65"/>
        <v>2.2999999999999998</v>
      </c>
      <c r="S107" s="92">
        <f t="shared" ref="S107:S109" si="67">2.5*P107</f>
        <v>9.9749999999999996</v>
      </c>
      <c r="T107" s="92"/>
      <c r="U107" s="92">
        <f>G107</f>
        <v>1</v>
      </c>
      <c r="V107" s="160"/>
      <c r="W107" s="160"/>
      <c r="X107" s="160"/>
      <c r="Y107" s="160"/>
      <c r="Z107" s="160"/>
      <c r="AA107" s="160"/>
      <c r="AB107" s="160"/>
      <c r="AC107" s="160"/>
      <c r="AD107" s="139">
        <f t="shared" si="66"/>
        <v>1</v>
      </c>
      <c r="AE107" s="1"/>
    </row>
    <row r="108" spans="1:31" ht="40.049999999999997" customHeight="1" x14ac:dyDescent="0.25">
      <c r="A108" s="141" t="s">
        <v>739</v>
      </c>
      <c r="B108" s="104" t="s">
        <v>397</v>
      </c>
      <c r="C108" s="104"/>
      <c r="D108" s="104"/>
      <c r="E108" s="100">
        <v>2</v>
      </c>
      <c r="F108" s="17">
        <v>2.1</v>
      </c>
      <c r="G108" s="91"/>
      <c r="H108" s="91">
        <v>1</v>
      </c>
      <c r="I108" s="91">
        <v>1</v>
      </c>
      <c r="J108" s="91">
        <v>1</v>
      </c>
      <c r="K108" s="751">
        <v>1</v>
      </c>
      <c r="L108" s="91">
        <v>1</v>
      </c>
      <c r="M108" s="91">
        <v>1</v>
      </c>
      <c r="N108" s="91">
        <v>1</v>
      </c>
      <c r="O108" s="91">
        <v>1</v>
      </c>
      <c r="P108" s="92">
        <f t="shared" si="64"/>
        <v>33.6</v>
      </c>
      <c r="Q108" s="50" t="s">
        <v>7</v>
      </c>
      <c r="R108" s="100">
        <f t="shared" si="65"/>
        <v>19.2</v>
      </c>
      <c r="S108" s="92">
        <f t="shared" si="67"/>
        <v>84</v>
      </c>
      <c r="T108" s="92"/>
      <c r="U108" s="92"/>
      <c r="V108" s="160">
        <f t="shared" ref="V108:AC108" si="68">H108</f>
        <v>1</v>
      </c>
      <c r="W108" s="160">
        <f t="shared" si="68"/>
        <v>1</v>
      </c>
      <c r="X108" s="160">
        <f t="shared" si="68"/>
        <v>1</v>
      </c>
      <c r="Y108" s="160">
        <f t="shared" si="68"/>
        <v>1</v>
      </c>
      <c r="Z108" s="160">
        <f t="shared" si="68"/>
        <v>1</v>
      </c>
      <c r="AA108" s="160">
        <f t="shared" si="68"/>
        <v>1</v>
      </c>
      <c r="AB108" s="160">
        <f t="shared" si="68"/>
        <v>1</v>
      </c>
      <c r="AC108" s="160">
        <f t="shared" si="68"/>
        <v>1</v>
      </c>
      <c r="AD108" s="139">
        <f t="shared" si="66"/>
        <v>8</v>
      </c>
      <c r="AE108" s="1"/>
    </row>
    <row r="109" spans="1:31" ht="40.049999999999997" customHeight="1" x14ac:dyDescent="0.25">
      <c r="A109" s="141" t="s">
        <v>722</v>
      </c>
      <c r="B109" s="104" t="s">
        <v>144</v>
      </c>
      <c r="C109" s="104">
        <f t="shared" ref="C109" si="69">0.05+E109*(G109+H109+I109+J109+K109+L109+M109)</f>
        <v>14.750000000000002</v>
      </c>
      <c r="D109" s="104"/>
      <c r="E109" s="100">
        <v>2.1</v>
      </c>
      <c r="F109" s="17">
        <v>2.1</v>
      </c>
      <c r="G109" s="91">
        <v>1</v>
      </c>
      <c r="H109" s="91">
        <v>1</v>
      </c>
      <c r="I109" s="91">
        <v>1</v>
      </c>
      <c r="J109" s="91">
        <v>1</v>
      </c>
      <c r="K109" s="751">
        <v>1</v>
      </c>
      <c r="L109" s="91">
        <v>1</v>
      </c>
      <c r="M109" s="91">
        <v>1</v>
      </c>
      <c r="N109" s="91">
        <v>1</v>
      </c>
      <c r="O109" s="91"/>
      <c r="P109" s="92">
        <f t="shared" si="64"/>
        <v>35.28</v>
      </c>
      <c r="Q109" s="50" t="s">
        <v>7</v>
      </c>
      <c r="R109" s="100">
        <f t="shared" si="65"/>
        <v>20</v>
      </c>
      <c r="S109" s="92">
        <f t="shared" si="67"/>
        <v>88.2</v>
      </c>
      <c r="T109" s="92"/>
      <c r="U109" s="92">
        <f t="shared" ref="U109:AB109" si="70">G109</f>
        <v>1</v>
      </c>
      <c r="V109" s="160">
        <f t="shared" si="70"/>
        <v>1</v>
      </c>
      <c r="W109" s="160">
        <f t="shared" si="70"/>
        <v>1</v>
      </c>
      <c r="X109" s="160">
        <f t="shared" si="70"/>
        <v>1</v>
      </c>
      <c r="Y109" s="160">
        <f t="shared" si="70"/>
        <v>1</v>
      </c>
      <c r="Z109" s="160">
        <f t="shared" si="70"/>
        <v>1</v>
      </c>
      <c r="AA109" s="160">
        <f t="shared" si="70"/>
        <v>1</v>
      </c>
      <c r="AB109" s="160">
        <f t="shared" si="70"/>
        <v>1</v>
      </c>
      <c r="AC109" s="160"/>
      <c r="AD109" s="139">
        <f t="shared" si="66"/>
        <v>8</v>
      </c>
      <c r="AE109" s="1"/>
    </row>
    <row r="110" spans="1:31" ht="24" x14ac:dyDescent="0.25">
      <c r="A110" s="141"/>
      <c r="B110" s="76" t="s">
        <v>39</v>
      </c>
      <c r="C110" s="51">
        <f>SUM(C104:C109)</f>
        <v>16.600000000000001</v>
      </c>
      <c r="D110" s="51"/>
      <c r="E110" s="19"/>
      <c r="F110" s="19"/>
      <c r="G110" s="167" t="s">
        <v>50</v>
      </c>
      <c r="H110" s="167" t="s">
        <v>93</v>
      </c>
      <c r="I110" s="167" t="s">
        <v>94</v>
      </c>
      <c r="J110" s="167" t="s">
        <v>95</v>
      </c>
      <c r="K110" s="167" t="s">
        <v>96</v>
      </c>
      <c r="L110" s="167" t="s">
        <v>97</v>
      </c>
      <c r="M110" s="167" t="s">
        <v>98</v>
      </c>
      <c r="N110" s="167" t="s">
        <v>646</v>
      </c>
      <c r="O110" s="165" t="s">
        <v>735</v>
      </c>
      <c r="P110" s="19"/>
      <c r="Q110" s="23" t="s">
        <v>7</v>
      </c>
      <c r="R110" s="99">
        <f>SUM(R104:R109)</f>
        <v>48.5</v>
      </c>
      <c r="S110" s="99">
        <f>SUM(S104:S109)</f>
        <v>208.42500000000001</v>
      </c>
      <c r="T110" s="99">
        <f>SUM(T104:T109)</f>
        <v>0</v>
      </c>
      <c r="U110" s="164" t="s">
        <v>99</v>
      </c>
      <c r="V110" s="164" t="s">
        <v>100</v>
      </c>
      <c r="W110" s="164" t="s">
        <v>101</v>
      </c>
      <c r="X110" s="164" t="s">
        <v>102</v>
      </c>
      <c r="Y110" s="164" t="s">
        <v>103</v>
      </c>
      <c r="Z110" s="164" t="s">
        <v>104</v>
      </c>
      <c r="AA110" s="164" t="s">
        <v>105</v>
      </c>
      <c r="AB110" s="164" t="s">
        <v>616</v>
      </c>
      <c r="AC110" s="164" t="s">
        <v>727</v>
      </c>
      <c r="AD110" s="99"/>
      <c r="AE110" s="1"/>
    </row>
    <row r="111" spans="1:31" ht="25.05" customHeight="1" x14ac:dyDescent="0.25">
      <c r="B111" s="823" t="s">
        <v>1</v>
      </c>
      <c r="C111" s="102" t="s">
        <v>46</v>
      </c>
      <c r="D111" s="102" t="s">
        <v>47</v>
      </c>
      <c r="E111" s="68" t="s">
        <v>4</v>
      </c>
      <c r="F111" s="68" t="s">
        <v>40</v>
      </c>
      <c r="G111" s="140" t="s">
        <v>42</v>
      </c>
      <c r="H111" s="140" t="s">
        <v>42</v>
      </c>
      <c r="I111" s="140" t="s">
        <v>42</v>
      </c>
      <c r="J111" s="140" t="s">
        <v>42</v>
      </c>
      <c r="K111" s="140" t="s">
        <v>42</v>
      </c>
      <c r="L111" s="140" t="s">
        <v>42</v>
      </c>
      <c r="M111" s="140" t="s">
        <v>42</v>
      </c>
      <c r="N111" s="140" t="s">
        <v>42</v>
      </c>
      <c r="O111" s="140" t="s">
        <v>42</v>
      </c>
      <c r="P111" s="67" t="s">
        <v>5</v>
      </c>
      <c r="Q111" s="823" t="s">
        <v>7</v>
      </c>
      <c r="R111" s="68" t="s">
        <v>37</v>
      </c>
      <c r="S111" s="103" t="s">
        <v>138</v>
      </c>
      <c r="T111" s="138" t="s">
        <v>855</v>
      </c>
      <c r="U111" s="831" t="s">
        <v>50</v>
      </c>
      <c r="V111" s="830" t="s">
        <v>93</v>
      </c>
      <c r="W111" s="830" t="s">
        <v>94</v>
      </c>
      <c r="X111" s="830" t="s">
        <v>95</v>
      </c>
      <c r="Y111" s="830" t="s">
        <v>96</v>
      </c>
      <c r="Z111" s="830" t="s">
        <v>97</v>
      </c>
      <c r="AA111" s="830" t="s">
        <v>98</v>
      </c>
      <c r="AB111" s="830" t="s">
        <v>646</v>
      </c>
      <c r="AC111" s="830" t="s">
        <v>735</v>
      </c>
      <c r="AD111" s="875" t="s">
        <v>8</v>
      </c>
      <c r="AE111" s="1"/>
    </row>
    <row r="112" spans="1:31" ht="14.4" x14ac:dyDescent="0.3">
      <c r="B112" s="823"/>
      <c r="C112" s="81" t="s">
        <v>10</v>
      </c>
      <c r="D112" s="81" t="s">
        <v>10</v>
      </c>
      <c r="E112" s="81" t="s">
        <v>10</v>
      </c>
      <c r="F112" s="81" t="s">
        <v>10</v>
      </c>
      <c r="G112" s="80" t="s">
        <v>9</v>
      </c>
      <c r="H112" s="80" t="s">
        <v>9</v>
      </c>
      <c r="I112" s="80" t="s">
        <v>9</v>
      </c>
      <c r="J112" s="80" t="s">
        <v>9</v>
      </c>
      <c r="K112" s="80" t="s">
        <v>9</v>
      </c>
      <c r="L112" s="80" t="s">
        <v>9</v>
      </c>
      <c r="M112" s="80" t="s">
        <v>9</v>
      </c>
      <c r="N112" s="80" t="s">
        <v>9</v>
      </c>
      <c r="O112" s="80" t="s">
        <v>9</v>
      </c>
      <c r="P112" s="82" t="s">
        <v>11</v>
      </c>
      <c r="Q112" s="823"/>
      <c r="R112" s="81" t="s">
        <v>10</v>
      </c>
      <c r="S112" s="81" t="s">
        <v>11</v>
      </c>
      <c r="T112" s="81" t="s">
        <v>11</v>
      </c>
      <c r="U112" s="830"/>
      <c r="V112" s="831"/>
      <c r="W112" s="831"/>
      <c r="X112" s="831"/>
      <c r="Y112" s="831"/>
      <c r="Z112" s="831"/>
      <c r="AA112" s="831"/>
      <c r="AB112" s="831"/>
      <c r="AC112" s="831"/>
      <c r="AD112" s="876"/>
      <c r="AE112" s="1"/>
    </row>
    <row r="113" spans="1:31" ht="14.4" x14ac:dyDescent="0.25">
      <c r="B113" s="93" t="s">
        <v>145</v>
      </c>
      <c r="C113" s="143"/>
      <c r="D113" s="143"/>
      <c r="E113" s="94"/>
      <c r="F113" s="95"/>
      <c r="G113" s="96"/>
      <c r="H113" s="96"/>
      <c r="I113" s="96"/>
      <c r="J113" s="96"/>
      <c r="K113" s="96"/>
      <c r="L113" s="96"/>
      <c r="M113" s="96"/>
      <c r="N113" s="96"/>
      <c r="O113" s="96"/>
      <c r="P113" s="97"/>
      <c r="Q113" s="98"/>
      <c r="R113" s="94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1"/>
    </row>
    <row r="114" spans="1:31" ht="57.6" x14ac:dyDescent="0.25">
      <c r="A114" s="743" t="s">
        <v>146</v>
      </c>
      <c r="B114" s="744" t="s">
        <v>832</v>
      </c>
      <c r="C114" s="104"/>
      <c r="D114" s="104"/>
      <c r="E114" s="100">
        <v>1.76</v>
      </c>
      <c r="F114" s="17">
        <v>2.7</v>
      </c>
      <c r="G114" s="91"/>
      <c r="H114" s="91"/>
      <c r="I114" s="91"/>
      <c r="J114" s="751">
        <v>1</v>
      </c>
      <c r="K114" s="91"/>
      <c r="L114" s="91"/>
      <c r="M114" s="91"/>
      <c r="N114" s="91"/>
      <c r="O114" s="91"/>
      <c r="P114" s="92">
        <f t="shared" ref="P114:P115" si="71">(E114*F114)*(G114+H114+I114+J114+K114+L114+M114+N114+O114)</f>
        <v>4.7520000000000007</v>
      </c>
      <c r="Q114" s="50" t="s">
        <v>7</v>
      </c>
      <c r="R114" s="100">
        <f t="shared" ref="R114:R115" si="72">(0.4+E114)*(G114+H114+I114+J114+K114+L114+M114+N114+O114)</f>
        <v>2.16</v>
      </c>
      <c r="S114" s="92">
        <f t="shared" ref="S114:S115" si="73">P114</f>
        <v>4.7520000000000007</v>
      </c>
      <c r="T114" s="92">
        <f t="shared" ref="T114:T115" si="74">P114</f>
        <v>4.7520000000000007</v>
      </c>
      <c r="U114" s="92"/>
      <c r="V114" s="160"/>
      <c r="W114" s="160"/>
      <c r="X114" s="92">
        <f>J114</f>
        <v>1</v>
      </c>
      <c r="Y114" s="160"/>
      <c r="Z114" s="160"/>
      <c r="AA114" s="160"/>
      <c r="AB114" s="160"/>
      <c r="AC114" s="160"/>
      <c r="AD114" s="139">
        <f t="shared" ref="AD114:AD126" si="75">SUM(U114:AC114)</f>
        <v>1</v>
      </c>
      <c r="AE114" s="1"/>
    </row>
    <row r="115" spans="1:31" ht="57.6" x14ac:dyDescent="0.25">
      <c r="A115" s="141" t="s">
        <v>395</v>
      </c>
      <c r="B115" s="748" t="s">
        <v>831</v>
      </c>
      <c r="C115" s="104"/>
      <c r="D115" s="104"/>
      <c r="E115" s="100">
        <v>2</v>
      </c>
      <c r="F115" s="17">
        <v>2.7</v>
      </c>
      <c r="G115" s="91"/>
      <c r="H115" s="91"/>
      <c r="I115" s="91"/>
      <c r="J115" s="751">
        <v>1</v>
      </c>
      <c r="K115" s="91"/>
      <c r="L115" s="91"/>
      <c r="M115" s="91"/>
      <c r="N115" s="91"/>
      <c r="O115" s="91"/>
      <c r="P115" s="92">
        <f t="shared" si="71"/>
        <v>5.4</v>
      </c>
      <c r="Q115" s="50" t="s">
        <v>7</v>
      </c>
      <c r="R115" s="100">
        <f t="shared" si="72"/>
        <v>2.4</v>
      </c>
      <c r="S115" s="92">
        <f t="shared" si="73"/>
        <v>5.4</v>
      </c>
      <c r="T115" s="92">
        <f t="shared" si="74"/>
        <v>5.4</v>
      </c>
      <c r="U115" s="92"/>
      <c r="V115" s="160"/>
      <c r="W115" s="160"/>
      <c r="X115" s="92">
        <f>J115</f>
        <v>1</v>
      </c>
      <c r="Y115" s="160"/>
      <c r="Z115" s="160"/>
      <c r="AA115" s="160"/>
      <c r="AB115" s="160"/>
      <c r="AC115" s="160"/>
      <c r="AD115" s="139">
        <f t="shared" si="75"/>
        <v>1</v>
      </c>
      <c r="AE115" s="1"/>
    </row>
    <row r="116" spans="1:31" ht="40.049999999999997" customHeight="1" x14ac:dyDescent="0.25">
      <c r="A116" s="141" t="s">
        <v>146</v>
      </c>
      <c r="B116" s="748" t="s">
        <v>814</v>
      </c>
      <c r="C116" s="104">
        <f>0.05+E116*(G116+H116+I116+K116+L116+M116)</f>
        <v>4.05</v>
      </c>
      <c r="D116" s="104"/>
      <c r="E116" s="100">
        <v>2</v>
      </c>
      <c r="F116" s="17">
        <v>1.7</v>
      </c>
      <c r="G116" s="91"/>
      <c r="H116" s="91">
        <v>2</v>
      </c>
      <c r="I116" s="91"/>
      <c r="J116" s="91"/>
      <c r="K116" s="91"/>
      <c r="L116" s="91"/>
      <c r="M116" s="91"/>
      <c r="N116" s="91"/>
      <c r="O116" s="91"/>
      <c r="P116" s="92">
        <f t="shared" ref="P116:P126" si="76">(E116*F116)*(G116+H116+I116+J116+K116+L116+M116+N116+O116)</f>
        <v>6.8</v>
      </c>
      <c r="Q116" s="50" t="s">
        <v>7</v>
      </c>
      <c r="R116" s="100">
        <f t="shared" ref="R116:R126" si="77">(0.4+E116)*(G116+H116+I116+J116+K116+L116+M116+N116+O116)</f>
        <v>4.8</v>
      </c>
      <c r="S116" s="92">
        <f t="shared" ref="S116:S126" si="78">P116</f>
        <v>6.8</v>
      </c>
      <c r="T116" s="92">
        <f t="shared" ref="T116:T126" si="79">P116</f>
        <v>6.8</v>
      </c>
      <c r="U116" s="92"/>
      <c r="V116" s="160">
        <f>H116</f>
        <v>2</v>
      </c>
      <c r="W116" s="160"/>
      <c r="X116" s="92"/>
      <c r="Y116" s="160"/>
      <c r="Z116" s="160"/>
      <c r="AA116" s="160"/>
      <c r="AB116" s="160"/>
      <c r="AC116" s="160"/>
      <c r="AD116" s="139">
        <f t="shared" si="75"/>
        <v>2</v>
      </c>
      <c r="AE116" s="1"/>
    </row>
    <row r="117" spans="1:31" ht="72" x14ac:dyDescent="0.25">
      <c r="A117" s="141" t="s">
        <v>146</v>
      </c>
      <c r="B117" s="748" t="s">
        <v>825</v>
      </c>
      <c r="C117" s="104"/>
      <c r="D117" s="104"/>
      <c r="E117" s="100">
        <v>2.96</v>
      </c>
      <c r="F117" s="17">
        <v>2.7</v>
      </c>
      <c r="G117" s="91"/>
      <c r="H117" s="91"/>
      <c r="I117" s="91">
        <v>1</v>
      </c>
      <c r="J117" s="91"/>
      <c r="K117" s="91"/>
      <c r="L117" s="91"/>
      <c r="M117" s="91"/>
      <c r="N117" s="91"/>
      <c r="O117" s="91"/>
      <c r="P117" s="92">
        <f t="shared" si="76"/>
        <v>7.992</v>
      </c>
      <c r="Q117" s="50" t="s">
        <v>7</v>
      </c>
      <c r="R117" s="100">
        <f t="shared" si="77"/>
        <v>3.36</v>
      </c>
      <c r="S117" s="92">
        <f t="shared" si="78"/>
        <v>7.992</v>
      </c>
      <c r="T117" s="92">
        <f t="shared" si="79"/>
        <v>7.992</v>
      </c>
      <c r="U117" s="92"/>
      <c r="V117" s="160"/>
      <c r="W117" s="160">
        <f>I117</f>
        <v>1</v>
      </c>
      <c r="X117" s="92"/>
      <c r="Y117" s="160"/>
      <c r="Z117" s="160"/>
      <c r="AA117" s="160"/>
      <c r="AB117" s="160"/>
      <c r="AC117" s="160"/>
      <c r="AD117" s="139">
        <f t="shared" si="75"/>
        <v>1</v>
      </c>
      <c r="AE117" s="1"/>
    </row>
    <row r="118" spans="1:31" ht="57.6" x14ac:dyDescent="0.25">
      <c r="A118" s="141" t="s">
        <v>146</v>
      </c>
      <c r="B118" s="748" t="s">
        <v>840</v>
      </c>
      <c r="C118" s="104"/>
      <c r="D118" s="104"/>
      <c r="E118" s="100">
        <v>2.5299999999999998</v>
      </c>
      <c r="F118" s="17">
        <v>2.1</v>
      </c>
      <c r="G118" s="91"/>
      <c r="H118" s="91"/>
      <c r="I118" s="91"/>
      <c r="J118" s="91"/>
      <c r="K118" s="91">
        <v>1</v>
      </c>
      <c r="L118" s="91"/>
      <c r="M118" s="91"/>
      <c r="N118" s="91"/>
      <c r="O118" s="91"/>
      <c r="P118" s="92">
        <f t="shared" si="76"/>
        <v>5.3129999999999997</v>
      </c>
      <c r="Q118" s="50" t="s">
        <v>7</v>
      </c>
      <c r="R118" s="100">
        <f t="shared" si="77"/>
        <v>2.9299999999999997</v>
      </c>
      <c r="S118" s="92">
        <f t="shared" si="78"/>
        <v>5.3129999999999997</v>
      </c>
      <c r="T118" s="92">
        <f t="shared" si="79"/>
        <v>5.3129999999999997</v>
      </c>
      <c r="U118" s="92"/>
      <c r="V118" s="160"/>
      <c r="W118" s="160"/>
      <c r="X118" s="92"/>
      <c r="Y118" s="160">
        <f>K118</f>
        <v>1</v>
      </c>
      <c r="Z118" s="160"/>
      <c r="AA118" s="160"/>
      <c r="AB118" s="160"/>
      <c r="AC118" s="160"/>
      <c r="AD118" s="139">
        <f t="shared" si="75"/>
        <v>1</v>
      </c>
      <c r="AE118" s="1"/>
    </row>
    <row r="119" spans="1:31" ht="57.6" x14ac:dyDescent="0.25">
      <c r="A119" s="141" t="s">
        <v>146</v>
      </c>
      <c r="B119" s="748" t="s">
        <v>842</v>
      </c>
      <c r="C119" s="104"/>
      <c r="D119" s="104"/>
      <c r="E119" s="100">
        <v>2.6</v>
      </c>
      <c r="F119" s="17">
        <v>2.7</v>
      </c>
      <c r="G119" s="91"/>
      <c r="H119" s="91"/>
      <c r="I119" s="91"/>
      <c r="J119" s="91"/>
      <c r="K119" s="91"/>
      <c r="L119" s="91">
        <v>5</v>
      </c>
      <c r="M119" s="91"/>
      <c r="N119" s="91"/>
      <c r="O119" s="91"/>
      <c r="P119" s="92">
        <f t="shared" si="76"/>
        <v>35.1</v>
      </c>
      <c r="Q119" s="50" t="s">
        <v>7</v>
      </c>
      <c r="R119" s="100">
        <f t="shared" si="77"/>
        <v>15</v>
      </c>
      <c r="S119" s="92">
        <f t="shared" si="78"/>
        <v>35.1</v>
      </c>
      <c r="T119" s="92">
        <f t="shared" si="79"/>
        <v>35.1</v>
      </c>
      <c r="U119" s="92"/>
      <c r="V119" s="160"/>
      <c r="W119" s="160"/>
      <c r="X119" s="92"/>
      <c r="Y119" s="160"/>
      <c r="Z119" s="160">
        <f>L119</f>
        <v>5</v>
      </c>
      <c r="AA119" s="160"/>
      <c r="AB119" s="160"/>
      <c r="AC119" s="160"/>
      <c r="AD119" s="139">
        <f t="shared" si="75"/>
        <v>5</v>
      </c>
      <c r="AE119" s="1"/>
    </row>
    <row r="120" spans="1:31" ht="43.2" x14ac:dyDescent="0.25">
      <c r="A120" s="743" t="s">
        <v>146</v>
      </c>
      <c r="B120" s="744" t="s">
        <v>805</v>
      </c>
      <c r="C120" s="664"/>
      <c r="D120" s="664"/>
      <c r="E120" s="746">
        <v>2</v>
      </c>
      <c r="F120" s="747">
        <v>2.1</v>
      </c>
      <c r="G120" s="750">
        <v>1</v>
      </c>
      <c r="H120" s="91"/>
      <c r="I120" s="91"/>
      <c r="J120" s="91"/>
      <c r="K120" s="91"/>
      <c r="L120" s="91"/>
      <c r="M120" s="91"/>
      <c r="N120" s="91"/>
      <c r="O120" s="91"/>
      <c r="P120" s="92">
        <f t="shared" ref="P120" si="80">(E120*F120)*(G120+H120+I120+J120+K120+L120+M120+N120+O120)</f>
        <v>4.2</v>
      </c>
      <c r="Q120" s="50" t="s">
        <v>7</v>
      </c>
      <c r="R120" s="100">
        <f t="shared" ref="R120" si="81">(0.4+E120)*(G120+H120+I120+J120+K120+L120+M120+N120+O120)</f>
        <v>2.4</v>
      </c>
      <c r="S120" s="92">
        <f t="shared" ref="S120" si="82">P120</f>
        <v>4.2</v>
      </c>
      <c r="T120" s="92">
        <f t="shared" ref="T120" si="83">P120</f>
        <v>4.2</v>
      </c>
      <c r="U120" s="92">
        <f>G120</f>
        <v>1</v>
      </c>
      <c r="V120" s="160"/>
      <c r="W120" s="160"/>
      <c r="X120" s="92"/>
      <c r="Y120" s="160"/>
      <c r="Z120" s="160"/>
      <c r="AA120" s="160"/>
      <c r="AB120" s="160"/>
      <c r="AC120" s="160"/>
      <c r="AD120" s="139">
        <f t="shared" si="75"/>
        <v>1</v>
      </c>
      <c r="AE120" s="1"/>
    </row>
    <row r="121" spans="1:31" ht="72" x14ac:dyDescent="0.25">
      <c r="A121" s="141" t="s">
        <v>395</v>
      </c>
      <c r="B121" s="748" t="s">
        <v>826</v>
      </c>
      <c r="C121" s="104"/>
      <c r="D121" s="104"/>
      <c r="E121" s="100">
        <v>3</v>
      </c>
      <c r="F121" s="17">
        <v>2.7</v>
      </c>
      <c r="G121" s="91"/>
      <c r="H121" s="91"/>
      <c r="I121" s="91">
        <v>1</v>
      </c>
      <c r="J121" s="91"/>
      <c r="K121" s="91"/>
      <c r="L121" s="91"/>
      <c r="M121" s="91"/>
      <c r="N121" s="91"/>
      <c r="O121" s="91"/>
      <c r="P121" s="92">
        <f t="shared" si="76"/>
        <v>8.1000000000000014</v>
      </c>
      <c r="Q121" s="50" t="s">
        <v>7</v>
      </c>
      <c r="R121" s="100">
        <f t="shared" si="77"/>
        <v>3.4</v>
      </c>
      <c r="S121" s="92">
        <f t="shared" si="78"/>
        <v>8.1000000000000014</v>
      </c>
      <c r="T121" s="92">
        <f t="shared" si="79"/>
        <v>8.1000000000000014</v>
      </c>
      <c r="U121" s="92"/>
      <c r="V121" s="160"/>
      <c r="W121" s="92">
        <f>I121</f>
        <v>1</v>
      </c>
      <c r="X121" s="92"/>
      <c r="Y121" s="160"/>
      <c r="Z121" s="160"/>
      <c r="AA121" s="92"/>
      <c r="AB121" s="160"/>
      <c r="AC121" s="160"/>
      <c r="AD121" s="139">
        <f t="shared" si="75"/>
        <v>1</v>
      </c>
      <c r="AE121" s="1"/>
    </row>
    <row r="122" spans="1:31" ht="57.6" x14ac:dyDescent="0.25">
      <c r="A122" s="141" t="s">
        <v>396</v>
      </c>
      <c r="B122" s="748" t="s">
        <v>831</v>
      </c>
      <c r="C122" s="104">
        <f t="shared" ref="C122" si="84">0.05+E122*(G122+H122+I122+J122+K122+L122+M122)</f>
        <v>2.42</v>
      </c>
      <c r="D122" s="104"/>
      <c r="E122" s="100">
        <v>2.37</v>
      </c>
      <c r="F122" s="17">
        <v>2.7</v>
      </c>
      <c r="G122" s="91"/>
      <c r="H122" s="91"/>
      <c r="I122" s="91"/>
      <c r="J122" s="91">
        <v>1</v>
      </c>
      <c r="K122" s="91"/>
      <c r="L122" s="91"/>
      <c r="M122" s="91"/>
      <c r="N122" s="91"/>
      <c r="O122" s="91"/>
      <c r="P122" s="92">
        <f t="shared" si="76"/>
        <v>6.3990000000000009</v>
      </c>
      <c r="Q122" s="50" t="s">
        <v>7</v>
      </c>
      <c r="R122" s="100">
        <f t="shared" si="77"/>
        <v>2.77</v>
      </c>
      <c r="S122" s="92">
        <f t="shared" si="78"/>
        <v>6.3990000000000009</v>
      </c>
      <c r="T122" s="92">
        <f t="shared" si="79"/>
        <v>6.3990000000000009</v>
      </c>
      <c r="U122" s="92"/>
      <c r="V122" s="160"/>
      <c r="W122" s="92"/>
      <c r="X122" s="92">
        <f>J122</f>
        <v>1</v>
      </c>
      <c r="Y122" s="160"/>
      <c r="Z122" s="160"/>
      <c r="AA122" s="92"/>
      <c r="AB122" s="160"/>
      <c r="AC122" s="160"/>
      <c r="AD122" s="139">
        <f t="shared" si="75"/>
        <v>1</v>
      </c>
      <c r="AE122" s="1"/>
    </row>
    <row r="123" spans="1:31" ht="57.6" x14ac:dyDescent="0.25">
      <c r="A123" s="141" t="s">
        <v>395</v>
      </c>
      <c r="B123" s="748" t="s">
        <v>841</v>
      </c>
      <c r="C123" s="104"/>
      <c r="D123" s="104"/>
      <c r="E123" s="100">
        <v>2.5299999999999998</v>
      </c>
      <c r="F123" s="17">
        <v>2.7</v>
      </c>
      <c r="G123" s="91"/>
      <c r="H123" s="91"/>
      <c r="I123" s="91"/>
      <c r="J123" s="91"/>
      <c r="K123" s="91">
        <v>1</v>
      </c>
      <c r="L123" s="91"/>
      <c r="M123" s="91"/>
      <c r="N123" s="91"/>
      <c r="O123" s="91"/>
      <c r="P123" s="92">
        <f t="shared" si="76"/>
        <v>6.8309999999999995</v>
      </c>
      <c r="Q123" s="50" t="s">
        <v>7</v>
      </c>
      <c r="R123" s="100">
        <f t="shared" si="77"/>
        <v>2.9299999999999997</v>
      </c>
      <c r="S123" s="92">
        <f t="shared" si="78"/>
        <v>6.8309999999999995</v>
      </c>
      <c r="T123" s="92">
        <f t="shared" si="79"/>
        <v>6.8309999999999995</v>
      </c>
      <c r="U123" s="92"/>
      <c r="V123" s="160"/>
      <c r="W123" s="92"/>
      <c r="X123" s="92"/>
      <c r="Y123" s="92">
        <f>K123</f>
        <v>1</v>
      </c>
      <c r="Z123" s="160"/>
      <c r="AA123" s="92"/>
      <c r="AB123" s="160"/>
      <c r="AC123" s="160"/>
      <c r="AD123" s="139">
        <f t="shared" si="75"/>
        <v>1</v>
      </c>
      <c r="AE123" s="1"/>
    </row>
    <row r="124" spans="1:31" ht="57.6" x14ac:dyDescent="0.25">
      <c r="A124" s="141" t="s">
        <v>395</v>
      </c>
      <c r="B124" s="748" t="s">
        <v>844</v>
      </c>
      <c r="C124" s="104"/>
      <c r="D124" s="104"/>
      <c r="E124" s="100">
        <v>2.8</v>
      </c>
      <c r="F124" s="17">
        <v>2.7</v>
      </c>
      <c r="G124" s="91"/>
      <c r="H124" s="91"/>
      <c r="I124" s="91"/>
      <c r="J124" s="91"/>
      <c r="K124" s="91"/>
      <c r="L124" s="91">
        <v>3</v>
      </c>
      <c r="M124" s="91"/>
      <c r="N124" s="91"/>
      <c r="O124" s="91"/>
      <c r="P124" s="92">
        <f t="shared" si="76"/>
        <v>22.68</v>
      </c>
      <c r="Q124" s="50" t="s">
        <v>7</v>
      </c>
      <c r="R124" s="100">
        <f t="shared" si="77"/>
        <v>9.6</v>
      </c>
      <c r="S124" s="92">
        <f t="shared" si="78"/>
        <v>22.68</v>
      </c>
      <c r="T124" s="92">
        <f t="shared" si="79"/>
        <v>22.68</v>
      </c>
      <c r="U124" s="92"/>
      <c r="V124" s="160"/>
      <c r="W124" s="92"/>
      <c r="X124" s="92"/>
      <c r="Y124" s="92"/>
      <c r="Z124" s="92">
        <f>L124</f>
        <v>3</v>
      </c>
      <c r="AA124" s="92"/>
      <c r="AB124" s="160"/>
      <c r="AC124" s="160"/>
      <c r="AD124" s="139">
        <f t="shared" si="75"/>
        <v>3</v>
      </c>
      <c r="AE124" s="1"/>
    </row>
    <row r="125" spans="1:31" ht="57.6" x14ac:dyDescent="0.25">
      <c r="A125" s="141" t="s">
        <v>834</v>
      </c>
      <c r="B125" s="748" t="s">
        <v>833</v>
      </c>
      <c r="C125" s="104">
        <f>0.05+E125*(G125+H125+I125+J125+K125+L125+M125)</f>
        <v>2.94</v>
      </c>
      <c r="D125" s="104"/>
      <c r="E125" s="100">
        <v>2.89</v>
      </c>
      <c r="F125" s="17">
        <v>2.7</v>
      </c>
      <c r="G125" s="91"/>
      <c r="H125" s="91"/>
      <c r="I125" s="91"/>
      <c r="J125" s="91">
        <v>1</v>
      </c>
      <c r="K125" s="91"/>
      <c r="L125" s="91"/>
      <c r="M125" s="91"/>
      <c r="N125" s="91"/>
      <c r="O125" s="91"/>
      <c r="P125" s="92">
        <f t="shared" si="76"/>
        <v>7.8030000000000008</v>
      </c>
      <c r="Q125" s="50" t="s">
        <v>7</v>
      </c>
      <c r="R125" s="100">
        <f t="shared" si="77"/>
        <v>3.29</v>
      </c>
      <c r="S125" s="92">
        <f t="shared" si="78"/>
        <v>7.8030000000000008</v>
      </c>
      <c r="T125" s="92">
        <f t="shared" si="79"/>
        <v>7.8030000000000008</v>
      </c>
      <c r="U125" s="92"/>
      <c r="V125" s="160"/>
      <c r="W125" s="92"/>
      <c r="X125" s="92">
        <f>J125</f>
        <v>1</v>
      </c>
      <c r="Y125" s="92"/>
      <c r="Z125" s="92"/>
      <c r="AA125" s="92"/>
      <c r="AB125" s="160"/>
      <c r="AC125" s="160"/>
      <c r="AD125" s="139">
        <f t="shared" si="75"/>
        <v>1</v>
      </c>
      <c r="AE125" s="1"/>
    </row>
    <row r="126" spans="1:31" ht="57.6" x14ac:dyDescent="0.25">
      <c r="A126" s="141" t="s">
        <v>396</v>
      </c>
      <c r="B126" s="748" t="s">
        <v>843</v>
      </c>
      <c r="C126" s="104"/>
      <c r="D126" s="104"/>
      <c r="E126" s="100">
        <v>3.9</v>
      </c>
      <c r="F126" s="17">
        <v>2.7</v>
      </c>
      <c r="G126" s="91"/>
      <c r="H126" s="91"/>
      <c r="I126" s="91"/>
      <c r="J126" s="91"/>
      <c r="K126" s="91"/>
      <c r="L126" s="91">
        <v>2</v>
      </c>
      <c r="M126" s="91"/>
      <c r="N126" s="91"/>
      <c r="O126" s="91"/>
      <c r="P126" s="92">
        <f t="shared" si="76"/>
        <v>21.060000000000002</v>
      </c>
      <c r="Q126" s="50" t="s">
        <v>7</v>
      </c>
      <c r="R126" s="100">
        <f t="shared" si="77"/>
        <v>8.6</v>
      </c>
      <c r="S126" s="92">
        <f t="shared" si="78"/>
        <v>21.060000000000002</v>
      </c>
      <c r="T126" s="92">
        <f t="shared" si="79"/>
        <v>21.060000000000002</v>
      </c>
      <c r="U126" s="92"/>
      <c r="V126" s="160"/>
      <c r="W126" s="92"/>
      <c r="X126" s="92"/>
      <c r="Y126" s="92"/>
      <c r="Z126" s="92">
        <f>L126</f>
        <v>2</v>
      </c>
      <c r="AA126" s="92"/>
      <c r="AB126" s="160"/>
      <c r="AC126" s="160"/>
      <c r="AD126" s="139">
        <f t="shared" si="75"/>
        <v>2</v>
      </c>
      <c r="AE126" s="1"/>
    </row>
    <row r="127" spans="1:31" ht="19.95" customHeight="1" x14ac:dyDescent="0.25">
      <c r="B127" s="76" t="s">
        <v>39</v>
      </c>
      <c r="C127" s="51">
        <f>SUM(C114:C126)</f>
        <v>9.41</v>
      </c>
      <c r="D127" s="51"/>
      <c r="E127" s="19"/>
      <c r="F127" s="19"/>
      <c r="G127" s="167" t="s">
        <v>50</v>
      </c>
      <c r="H127" s="167" t="s">
        <v>93</v>
      </c>
      <c r="I127" s="167" t="s">
        <v>94</v>
      </c>
      <c r="J127" s="167" t="s">
        <v>95</v>
      </c>
      <c r="K127" s="167" t="s">
        <v>96</v>
      </c>
      <c r="L127" s="167" t="s">
        <v>97</v>
      </c>
      <c r="M127" s="167" t="s">
        <v>98</v>
      </c>
      <c r="N127" s="167" t="s">
        <v>646</v>
      </c>
      <c r="O127" s="165" t="s">
        <v>735</v>
      </c>
      <c r="P127" s="19"/>
      <c r="Q127" s="23" t="s">
        <v>7</v>
      </c>
      <c r="R127" s="99">
        <f>SUM(R114:R126)</f>
        <v>63.64</v>
      </c>
      <c r="S127" s="99">
        <f>SUM(S114:S126)</f>
        <v>142.43</v>
      </c>
      <c r="T127" s="99">
        <f>SUM(T114:T126)</f>
        <v>142.43</v>
      </c>
      <c r="U127" s="164" t="s">
        <v>99</v>
      </c>
      <c r="V127" s="164" t="s">
        <v>100</v>
      </c>
      <c r="W127" s="164" t="s">
        <v>101</v>
      </c>
      <c r="X127" s="164" t="s">
        <v>102</v>
      </c>
      <c r="Y127" s="164" t="s">
        <v>103</v>
      </c>
      <c r="Z127" s="164" t="s">
        <v>104</v>
      </c>
      <c r="AA127" s="164" t="s">
        <v>105</v>
      </c>
      <c r="AB127" s="164" t="s">
        <v>616</v>
      </c>
      <c r="AC127" s="164" t="s">
        <v>727</v>
      </c>
      <c r="AD127" s="99"/>
      <c r="AE127" s="1"/>
    </row>
    <row r="128" spans="1:31" ht="25.05" customHeight="1" x14ac:dyDescent="0.25">
      <c r="B128" s="823" t="s">
        <v>1</v>
      </c>
      <c r="C128" s="102" t="s">
        <v>46</v>
      </c>
      <c r="D128" s="102" t="s">
        <v>47</v>
      </c>
      <c r="E128" s="68" t="s">
        <v>4</v>
      </c>
      <c r="F128" s="68" t="s">
        <v>40</v>
      </c>
      <c r="G128" s="140" t="s">
        <v>42</v>
      </c>
      <c r="H128" s="140" t="s">
        <v>42</v>
      </c>
      <c r="I128" s="140" t="s">
        <v>42</v>
      </c>
      <c r="J128" s="140" t="s">
        <v>42</v>
      </c>
      <c r="K128" s="140" t="s">
        <v>42</v>
      </c>
      <c r="L128" s="140" t="s">
        <v>42</v>
      </c>
      <c r="M128" s="140" t="s">
        <v>42</v>
      </c>
      <c r="N128" s="140" t="s">
        <v>42</v>
      </c>
      <c r="O128" s="140" t="s">
        <v>42</v>
      </c>
      <c r="P128" s="67" t="s">
        <v>5</v>
      </c>
      <c r="Q128" s="823" t="s">
        <v>7</v>
      </c>
      <c r="R128" s="68" t="s">
        <v>37</v>
      </c>
      <c r="S128" s="103" t="s">
        <v>150</v>
      </c>
      <c r="T128" s="138" t="s">
        <v>48</v>
      </c>
      <c r="U128" s="831" t="s">
        <v>50</v>
      </c>
      <c r="V128" s="830" t="s">
        <v>93</v>
      </c>
      <c r="W128" s="830" t="s">
        <v>94</v>
      </c>
      <c r="X128" s="830" t="s">
        <v>95</v>
      </c>
      <c r="Y128" s="830" t="s">
        <v>96</v>
      </c>
      <c r="Z128" s="830" t="s">
        <v>97</v>
      </c>
      <c r="AA128" s="830" t="s">
        <v>98</v>
      </c>
      <c r="AB128" s="830" t="s">
        <v>646</v>
      </c>
      <c r="AC128" s="830" t="s">
        <v>735</v>
      </c>
      <c r="AD128" s="875" t="s">
        <v>8</v>
      </c>
      <c r="AE128" s="1"/>
    </row>
    <row r="129" spans="1:31" ht="14.4" x14ac:dyDescent="0.3">
      <c r="B129" s="823"/>
      <c r="C129" s="81" t="s">
        <v>10</v>
      </c>
      <c r="D129" s="81" t="s">
        <v>10</v>
      </c>
      <c r="E129" s="81" t="s">
        <v>10</v>
      </c>
      <c r="F129" s="81" t="s">
        <v>10</v>
      </c>
      <c r="G129" s="80" t="s">
        <v>9</v>
      </c>
      <c r="H129" s="80" t="s">
        <v>9</v>
      </c>
      <c r="I129" s="80" t="s">
        <v>9</v>
      </c>
      <c r="J129" s="80" t="s">
        <v>9</v>
      </c>
      <c r="K129" s="80" t="s">
        <v>9</v>
      </c>
      <c r="L129" s="80" t="s">
        <v>9</v>
      </c>
      <c r="M129" s="80" t="s">
        <v>9</v>
      </c>
      <c r="N129" s="80" t="s">
        <v>9</v>
      </c>
      <c r="O129" s="80" t="s">
        <v>9</v>
      </c>
      <c r="P129" s="82" t="s">
        <v>11</v>
      </c>
      <c r="Q129" s="823"/>
      <c r="R129" s="81" t="s">
        <v>10</v>
      </c>
      <c r="S129" s="81" t="s">
        <v>11</v>
      </c>
      <c r="T129" s="81" t="s">
        <v>11</v>
      </c>
      <c r="U129" s="830"/>
      <c r="V129" s="831"/>
      <c r="W129" s="831"/>
      <c r="X129" s="831"/>
      <c r="Y129" s="831"/>
      <c r="Z129" s="831"/>
      <c r="AA129" s="831"/>
      <c r="AB129" s="831"/>
      <c r="AC129" s="831"/>
      <c r="AD129" s="876"/>
      <c r="AE129" s="1"/>
    </row>
    <row r="130" spans="1:31" ht="14.4" x14ac:dyDescent="0.25">
      <c r="B130" s="93" t="s">
        <v>147</v>
      </c>
      <c r="C130" s="143"/>
      <c r="D130" s="143"/>
      <c r="E130" s="94"/>
      <c r="F130" s="95"/>
      <c r="G130" s="96"/>
      <c r="H130" s="96"/>
      <c r="I130" s="96"/>
      <c r="J130" s="96"/>
      <c r="K130" s="96"/>
      <c r="L130" s="96"/>
      <c r="M130" s="96"/>
      <c r="N130" s="96"/>
      <c r="O130" s="96"/>
      <c r="P130" s="97"/>
      <c r="Q130" s="98"/>
      <c r="R130" s="94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1"/>
    </row>
    <row r="131" spans="1:31" ht="28.8" x14ac:dyDescent="0.25">
      <c r="A131" s="141" t="s">
        <v>149</v>
      </c>
      <c r="B131" s="104" t="s">
        <v>148</v>
      </c>
      <c r="C131" s="104"/>
      <c r="D131" s="104"/>
      <c r="E131" s="100">
        <v>3</v>
      </c>
      <c r="F131" s="17">
        <v>1</v>
      </c>
      <c r="G131" s="91">
        <v>1</v>
      </c>
      <c r="H131" s="91"/>
      <c r="I131" s="91"/>
      <c r="J131" s="91"/>
      <c r="K131" s="91"/>
      <c r="L131" s="91"/>
      <c r="M131" s="91"/>
      <c r="N131" s="91"/>
      <c r="O131" s="91"/>
      <c r="P131" s="92">
        <f t="shared" ref="P131" si="85">(E131*F131)*(G131+H131+I131+J131+K131+L131+M131+N131+O131)</f>
        <v>3</v>
      </c>
      <c r="Q131" s="50" t="s">
        <v>7</v>
      </c>
      <c r="R131" s="100"/>
      <c r="S131" s="92">
        <f>2*P131</f>
        <v>6</v>
      </c>
      <c r="T131" s="92"/>
      <c r="U131" s="92">
        <f>G131</f>
        <v>1</v>
      </c>
      <c r="V131" s="160"/>
      <c r="W131" s="160"/>
      <c r="X131" s="160"/>
      <c r="Y131" s="160"/>
      <c r="Z131" s="160"/>
      <c r="AA131" s="160"/>
      <c r="AB131" s="160"/>
      <c r="AC131" s="160"/>
      <c r="AD131" s="139">
        <f t="shared" ref="AD131" si="86">SUM(U131:AC131)</f>
        <v>1</v>
      </c>
      <c r="AE131" s="1"/>
    </row>
    <row r="132" spans="1:31" ht="19.95" customHeight="1" x14ac:dyDescent="0.25">
      <c r="B132" s="76" t="s">
        <v>39</v>
      </c>
      <c r="C132" s="51"/>
      <c r="D132" s="51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23" t="s">
        <v>7</v>
      </c>
      <c r="R132" s="99"/>
      <c r="S132" s="99">
        <f>SUM(S131)</f>
        <v>6</v>
      </c>
      <c r="T132" s="99"/>
      <c r="U132" s="99"/>
      <c r="V132" s="99"/>
      <c r="W132" s="99"/>
      <c r="X132" s="99"/>
      <c r="Y132" s="99"/>
      <c r="Z132" s="99"/>
      <c r="AA132" s="99"/>
      <c r="AB132" s="99"/>
      <c r="AC132" s="99"/>
      <c r="AD132" s="99"/>
      <c r="AE132" s="1"/>
    </row>
    <row r="136" spans="1:31" x14ac:dyDescent="0.25"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</row>
    <row r="137" spans="1:31" ht="34.950000000000003" customHeight="1" x14ac:dyDescent="0.25">
      <c r="B137" s="822" t="s">
        <v>152</v>
      </c>
      <c r="C137" s="168" t="s">
        <v>721</v>
      </c>
      <c r="D137" s="168" t="s">
        <v>47</v>
      </c>
      <c r="L137" s="178"/>
      <c r="M137" s="145"/>
      <c r="N137" s="145"/>
      <c r="O137" s="145"/>
      <c r="P137" s="145"/>
      <c r="R137" s="169" t="s">
        <v>37</v>
      </c>
      <c r="S137" s="170" t="s">
        <v>151</v>
      </c>
      <c r="T137" s="171" t="s">
        <v>861</v>
      </c>
      <c r="U137" s="1"/>
    </row>
    <row r="138" spans="1:31" ht="15" customHeight="1" x14ac:dyDescent="0.25">
      <c r="B138" s="828"/>
      <c r="C138" s="172">
        <f>SUM(C12:C16)</f>
        <v>68.849999999999994</v>
      </c>
      <c r="D138" s="595">
        <f>SUM(D51,D57)</f>
        <v>25.200000000000003</v>
      </c>
      <c r="E138" s="173"/>
      <c r="F138" s="174"/>
      <c r="G138" s="174"/>
      <c r="H138" s="174"/>
      <c r="I138" s="174"/>
      <c r="J138" s="174"/>
      <c r="K138" s="174"/>
      <c r="L138" s="181"/>
      <c r="M138" s="182"/>
      <c r="N138" s="182"/>
      <c r="O138" s="182"/>
      <c r="P138" s="182"/>
      <c r="Q138" s="183"/>
      <c r="R138" s="175">
        <f>SUM(R39,R51,R57,R93,R100,R110,R127)</f>
        <v>970.21</v>
      </c>
      <c r="S138" s="176">
        <f>SUM(S39)</f>
        <v>2115.1199999999994</v>
      </c>
      <c r="T138" s="177">
        <f>SUM(T46,T48)</f>
        <v>11.4</v>
      </c>
      <c r="U138" s="1"/>
    </row>
    <row r="139" spans="1:31" ht="34.950000000000003" customHeight="1" x14ac:dyDescent="0.25">
      <c r="C139" s="594" t="s">
        <v>720</v>
      </c>
      <c r="D139" s="1"/>
      <c r="M139" s="145"/>
      <c r="N139" s="145"/>
      <c r="O139" s="145"/>
      <c r="S139" s="170" t="s">
        <v>138</v>
      </c>
      <c r="T139" s="171" t="s">
        <v>862</v>
      </c>
      <c r="U139" s="1"/>
    </row>
    <row r="140" spans="1:31" ht="15" customHeight="1" x14ac:dyDescent="0.25">
      <c r="C140" s="172">
        <f>SUM(C17,C29,C30,C31,C34,C93,C100,C110,C127)</f>
        <v>172.7</v>
      </c>
      <c r="D140" s="1"/>
      <c r="M140" s="179"/>
      <c r="N140" s="179"/>
      <c r="O140" s="179"/>
      <c r="S140" s="176">
        <f>SUM(S93,S100,S110,S127)</f>
        <v>1549.5170000000003</v>
      </c>
      <c r="T140" s="177">
        <f>SUM(T44,T45,T47,T49,T50)</f>
        <v>9.1999999999999993</v>
      </c>
      <c r="U140" s="1"/>
    </row>
    <row r="141" spans="1:31" ht="40.049999999999997" customHeight="1" x14ac:dyDescent="0.25">
      <c r="S141" s="170" t="s">
        <v>150</v>
      </c>
      <c r="T141" s="171" t="s">
        <v>863</v>
      </c>
      <c r="U141" s="1"/>
    </row>
    <row r="142" spans="1:31" ht="15" customHeight="1" x14ac:dyDescent="0.25">
      <c r="S142" s="176">
        <f>S132</f>
        <v>6</v>
      </c>
      <c r="T142" s="177">
        <f>T43</f>
        <v>0.6</v>
      </c>
      <c r="U142" s="1"/>
    </row>
    <row r="143" spans="1:31" ht="40.049999999999997" customHeight="1" x14ac:dyDescent="0.25">
      <c r="T143" s="171" t="s">
        <v>856</v>
      </c>
      <c r="U143" s="1"/>
    </row>
    <row r="144" spans="1:31" ht="15" customHeight="1" x14ac:dyDescent="0.25">
      <c r="T144" s="177">
        <f>SUM(T119,T124,T126)</f>
        <v>78.84</v>
      </c>
      <c r="U144" s="1"/>
    </row>
    <row r="145" spans="2:31" ht="40.049999999999997" customHeight="1" x14ac:dyDescent="0.25">
      <c r="T145" s="171" t="s">
        <v>857</v>
      </c>
      <c r="U145" s="1"/>
    </row>
    <row r="146" spans="2:31" ht="15" customHeight="1" x14ac:dyDescent="0.25">
      <c r="T146" s="177">
        <f>SUM(T117,T121)</f>
        <v>16.092000000000002</v>
      </c>
      <c r="U146" s="1"/>
    </row>
    <row r="147" spans="2:31" ht="40.049999999999997" customHeight="1" x14ac:dyDescent="0.25">
      <c r="T147" s="171" t="s">
        <v>858</v>
      </c>
      <c r="U147" s="1"/>
    </row>
    <row r="148" spans="2:31" ht="15" customHeight="1" x14ac:dyDescent="0.25">
      <c r="T148" s="177">
        <f>SUM(T114,T115,T122,T125)</f>
        <v>24.354000000000003</v>
      </c>
      <c r="U148" s="1"/>
    </row>
    <row r="149" spans="2:31" ht="41.4" x14ac:dyDescent="0.25">
      <c r="T149" s="764" t="s">
        <v>854</v>
      </c>
      <c r="U149" s="1"/>
    </row>
    <row r="150" spans="2:31" ht="15" customHeight="1" x14ac:dyDescent="0.25">
      <c r="T150" s="172">
        <f>T120</f>
        <v>4.2</v>
      </c>
      <c r="U150" s="1"/>
    </row>
    <row r="151" spans="2:31" ht="55.2" x14ac:dyDescent="0.25">
      <c r="T151" s="764" t="s">
        <v>859</v>
      </c>
      <c r="U151" s="1"/>
    </row>
    <row r="152" spans="2:31" ht="15" customHeight="1" x14ac:dyDescent="0.25">
      <c r="T152" s="172">
        <f>SUM(T118,T123)</f>
        <v>12.143999999999998</v>
      </c>
      <c r="U152" s="1"/>
    </row>
    <row r="153" spans="2:31" ht="55.2" x14ac:dyDescent="0.25">
      <c r="T153" s="764" t="s">
        <v>860</v>
      </c>
      <c r="U153" s="1"/>
    </row>
    <row r="154" spans="2:31" ht="15" customHeight="1" x14ac:dyDescent="0.25">
      <c r="T154" s="172">
        <f>SUM(T55,T56,T116)</f>
        <v>9.8000000000000007</v>
      </c>
      <c r="U154" s="1"/>
    </row>
    <row r="158" spans="2:31" ht="25.05" customHeight="1" x14ac:dyDescent="0.25">
      <c r="B158" s="822" t="s">
        <v>1</v>
      </c>
      <c r="C158" s="103" t="s">
        <v>46</v>
      </c>
      <c r="D158" s="103" t="s">
        <v>47</v>
      </c>
      <c r="E158" s="52" t="s">
        <v>4</v>
      </c>
      <c r="F158" s="52" t="s">
        <v>40</v>
      </c>
      <c r="G158" s="532" t="s">
        <v>42</v>
      </c>
      <c r="H158" s="532" t="s">
        <v>42</v>
      </c>
      <c r="I158" s="532" t="s">
        <v>42</v>
      </c>
      <c r="J158" s="532" t="s">
        <v>42</v>
      </c>
      <c r="K158" s="532" t="s">
        <v>42</v>
      </c>
      <c r="L158" s="532" t="s">
        <v>42</v>
      </c>
      <c r="M158" s="532" t="s">
        <v>42</v>
      </c>
      <c r="N158" s="532" t="s">
        <v>42</v>
      </c>
      <c r="O158" s="140" t="s">
        <v>42</v>
      </c>
      <c r="P158" s="148" t="s">
        <v>5</v>
      </c>
      <c r="Q158" s="822" t="s">
        <v>7</v>
      </c>
      <c r="R158" s="52" t="s">
        <v>37</v>
      </c>
      <c r="S158" s="103" t="s">
        <v>151</v>
      </c>
      <c r="T158" s="138" t="s">
        <v>48</v>
      </c>
      <c r="U158" s="831" t="s">
        <v>50</v>
      </c>
      <c r="V158" s="830" t="s">
        <v>93</v>
      </c>
      <c r="W158" s="830" t="s">
        <v>94</v>
      </c>
      <c r="X158" s="830" t="s">
        <v>95</v>
      </c>
      <c r="Y158" s="830" t="s">
        <v>96</v>
      </c>
      <c r="Z158" s="830" t="s">
        <v>97</v>
      </c>
      <c r="AA158" s="830" t="s">
        <v>98</v>
      </c>
      <c r="AB158" s="830" t="s">
        <v>646</v>
      </c>
      <c r="AC158" s="830" t="s">
        <v>735</v>
      </c>
      <c r="AD158" s="875" t="s">
        <v>8</v>
      </c>
      <c r="AE158" s="1"/>
    </row>
    <row r="159" spans="2:31" ht="14.4" x14ac:dyDescent="0.3">
      <c r="B159" s="828"/>
      <c r="C159" s="48" t="s">
        <v>10</v>
      </c>
      <c r="D159" s="48" t="s">
        <v>10</v>
      </c>
      <c r="E159" s="48" t="s">
        <v>10</v>
      </c>
      <c r="F159" s="48" t="s">
        <v>10</v>
      </c>
      <c r="G159" s="47" t="s">
        <v>9</v>
      </c>
      <c r="H159" s="47" t="s">
        <v>9</v>
      </c>
      <c r="I159" s="47" t="s">
        <v>9</v>
      </c>
      <c r="J159" s="47" t="s">
        <v>9</v>
      </c>
      <c r="K159" s="47" t="s">
        <v>9</v>
      </c>
      <c r="L159" s="47" t="s">
        <v>9</v>
      </c>
      <c r="M159" s="47" t="s">
        <v>9</v>
      </c>
      <c r="N159" s="47" t="s">
        <v>9</v>
      </c>
      <c r="O159" s="80" t="s">
        <v>9</v>
      </c>
      <c r="P159" s="49" t="s">
        <v>11</v>
      </c>
      <c r="Q159" s="828"/>
      <c r="R159" s="48" t="s">
        <v>10</v>
      </c>
      <c r="S159" s="81" t="s">
        <v>11</v>
      </c>
      <c r="T159" s="81" t="s">
        <v>11</v>
      </c>
      <c r="U159" s="830"/>
      <c r="V159" s="831"/>
      <c r="W159" s="831"/>
      <c r="X159" s="831"/>
      <c r="Y159" s="831"/>
      <c r="Z159" s="831"/>
      <c r="AA159" s="831"/>
      <c r="AB159" s="831"/>
      <c r="AC159" s="831"/>
      <c r="AD159" s="876"/>
      <c r="AE159" s="1"/>
    </row>
    <row r="160" spans="2:31" ht="14.4" x14ac:dyDescent="0.25">
      <c r="B160" s="93" t="s">
        <v>682</v>
      </c>
      <c r="C160" s="143"/>
      <c r="D160" s="143"/>
      <c r="E160" s="94"/>
      <c r="F160" s="95"/>
      <c r="G160" s="96"/>
      <c r="H160" s="96"/>
      <c r="I160" s="96"/>
      <c r="J160" s="96"/>
      <c r="K160" s="96"/>
      <c r="L160" s="96"/>
      <c r="M160" s="96"/>
      <c r="N160" s="96"/>
      <c r="O160" s="96"/>
      <c r="P160" s="97"/>
      <c r="Q160" s="98"/>
      <c r="R160" s="94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1"/>
    </row>
    <row r="161" spans="2:31" ht="14.4" x14ac:dyDescent="0.25">
      <c r="B161" s="104" t="s">
        <v>683</v>
      </c>
      <c r="C161" s="104"/>
      <c r="D161" s="104"/>
      <c r="E161" s="100">
        <v>0.6</v>
      </c>
      <c r="F161" s="17">
        <v>1.6</v>
      </c>
      <c r="G161" s="91">
        <v>8</v>
      </c>
      <c r="H161" s="91">
        <v>6</v>
      </c>
      <c r="I161" s="91">
        <v>19</v>
      </c>
      <c r="J161" s="91"/>
      <c r="K161" s="91"/>
      <c r="L161" s="91">
        <v>8</v>
      </c>
      <c r="M161" s="91"/>
      <c r="N161" s="91"/>
      <c r="O161" s="91"/>
      <c r="P161" s="92">
        <f>E161*F161*(G161+H161+I161+J161+K161+L161+M161+N161)</f>
        <v>39.36</v>
      </c>
      <c r="Q161" s="50" t="s">
        <v>7</v>
      </c>
      <c r="R161" s="100"/>
      <c r="S161" s="92"/>
      <c r="T161" s="92"/>
      <c r="U161" s="92">
        <f t="shared" ref="U161" si="87">G161</f>
        <v>8</v>
      </c>
      <c r="V161" s="160">
        <f t="shared" ref="V161" si="88">H161</f>
        <v>6</v>
      </c>
      <c r="W161" s="160">
        <f t="shared" ref="W161" si="89">I161</f>
        <v>19</v>
      </c>
      <c r="X161" s="160"/>
      <c r="Y161" s="160"/>
      <c r="Z161" s="160">
        <f t="shared" ref="Z161" si="90">L161</f>
        <v>8</v>
      </c>
      <c r="AA161" s="160"/>
      <c r="AB161" s="160"/>
      <c r="AC161" s="160"/>
      <c r="AD161" s="139">
        <f>SUM(U161:AB161)</f>
        <v>41</v>
      </c>
      <c r="AE161" s="1"/>
    </row>
    <row r="162" spans="2:31" ht="14.4" x14ac:dyDescent="0.25">
      <c r="B162" s="104"/>
      <c r="C162" s="104"/>
      <c r="D162" s="104"/>
      <c r="E162" s="100"/>
      <c r="F162" s="17"/>
      <c r="G162" s="91"/>
      <c r="H162" s="91"/>
      <c r="I162" s="91"/>
      <c r="J162" s="91"/>
      <c r="K162" s="91"/>
      <c r="L162" s="91"/>
      <c r="M162" s="91"/>
      <c r="N162" s="91"/>
      <c r="O162" s="91"/>
      <c r="P162" s="92"/>
      <c r="Q162" s="50"/>
      <c r="R162" s="100"/>
      <c r="S162" s="92"/>
      <c r="T162" s="92"/>
      <c r="U162" s="92"/>
      <c r="V162" s="160"/>
      <c r="W162" s="160"/>
      <c r="X162" s="160"/>
      <c r="Y162" s="160"/>
      <c r="Z162" s="160"/>
      <c r="AA162" s="160"/>
      <c r="AB162" s="160"/>
      <c r="AC162" s="160"/>
      <c r="AD162" s="139"/>
      <c r="AE162" s="1"/>
    </row>
  </sheetData>
  <mergeCells count="109">
    <mergeCell ref="B137:B138"/>
    <mergeCell ref="X128:X129"/>
    <mergeCell ref="Y128:Y129"/>
    <mergeCell ref="Z128:Z129"/>
    <mergeCell ref="AA128:AA129"/>
    <mergeCell ref="Y58:Y59"/>
    <mergeCell ref="Z58:Z59"/>
    <mergeCell ref="AA58:AA59"/>
    <mergeCell ref="AD128:AD129"/>
    <mergeCell ref="B128:B129"/>
    <mergeCell ref="Q128:Q129"/>
    <mergeCell ref="U128:U129"/>
    <mergeCell ref="V128:V129"/>
    <mergeCell ref="W128:W129"/>
    <mergeCell ref="AB128:AB129"/>
    <mergeCell ref="AC128:AC129"/>
    <mergeCell ref="AD101:AD102"/>
    <mergeCell ref="AB101:AB102"/>
    <mergeCell ref="AC101:AC102"/>
    <mergeCell ref="B111:B112"/>
    <mergeCell ref="Q111:Q112"/>
    <mergeCell ref="U111:U112"/>
    <mergeCell ref="V111:V112"/>
    <mergeCell ref="W111:W112"/>
    <mergeCell ref="B52:B53"/>
    <mergeCell ref="Q52:Q53"/>
    <mergeCell ref="U52:U53"/>
    <mergeCell ref="V52:V53"/>
    <mergeCell ref="W52:W53"/>
    <mergeCell ref="X52:X53"/>
    <mergeCell ref="Y52:Y53"/>
    <mergeCell ref="Z52:Z53"/>
    <mergeCell ref="AA52:AA53"/>
    <mergeCell ref="X111:X112"/>
    <mergeCell ref="Y111:Y112"/>
    <mergeCell ref="Z111:Z112"/>
    <mergeCell ref="AA111:AA112"/>
    <mergeCell ref="AD111:AD112"/>
    <mergeCell ref="AB111:AB112"/>
    <mergeCell ref="AC111:AC112"/>
    <mergeCell ref="B101:B102"/>
    <mergeCell ref="Q101:Q102"/>
    <mergeCell ref="U101:U102"/>
    <mergeCell ref="V101:V102"/>
    <mergeCell ref="W101:W102"/>
    <mergeCell ref="X101:X102"/>
    <mergeCell ref="Y101:Y102"/>
    <mergeCell ref="Z101:Z102"/>
    <mergeCell ref="AA101:AA102"/>
    <mergeCell ref="AD52:AD53"/>
    <mergeCell ref="AB52:AB53"/>
    <mergeCell ref="AC52:AC53"/>
    <mergeCell ref="AD58:AD59"/>
    <mergeCell ref="AB58:AB59"/>
    <mergeCell ref="AC58:AC59"/>
    <mergeCell ref="B94:B95"/>
    <mergeCell ref="Q94:Q95"/>
    <mergeCell ref="U94:U95"/>
    <mergeCell ref="V94:V95"/>
    <mergeCell ref="W94:W95"/>
    <mergeCell ref="X94:X95"/>
    <mergeCell ref="Y94:Y95"/>
    <mergeCell ref="Z94:Z95"/>
    <mergeCell ref="AA94:AA95"/>
    <mergeCell ref="AD94:AD95"/>
    <mergeCell ref="AB94:AB95"/>
    <mergeCell ref="AC94:AC95"/>
    <mergeCell ref="B58:B59"/>
    <mergeCell ref="Q58:Q59"/>
    <mergeCell ref="U58:U59"/>
    <mergeCell ref="V58:V59"/>
    <mergeCell ref="W58:W59"/>
    <mergeCell ref="X58:X59"/>
    <mergeCell ref="B40:B41"/>
    <mergeCell ref="Q40:Q41"/>
    <mergeCell ref="U40:U41"/>
    <mergeCell ref="V40:V41"/>
    <mergeCell ref="W40:W41"/>
    <mergeCell ref="U9:U10"/>
    <mergeCell ref="AD9:AD10"/>
    <mergeCell ref="B9:B10"/>
    <mergeCell ref="Q9:Q10"/>
    <mergeCell ref="V9:V10"/>
    <mergeCell ref="W9:W10"/>
    <mergeCell ref="X9:X10"/>
    <mergeCell ref="Y9:Y10"/>
    <mergeCell ref="AA9:AA10"/>
    <mergeCell ref="Z9:Z10"/>
    <mergeCell ref="AB9:AB10"/>
    <mergeCell ref="AC9:AC10"/>
    <mergeCell ref="X40:X41"/>
    <mergeCell ref="Y40:Y41"/>
    <mergeCell ref="Z40:Z41"/>
    <mergeCell ref="AA40:AA41"/>
    <mergeCell ref="AD40:AD41"/>
    <mergeCell ref="AB40:AB41"/>
    <mergeCell ref="AC40:AC41"/>
    <mergeCell ref="AD158:AD159"/>
    <mergeCell ref="X158:X159"/>
    <mergeCell ref="Y158:Y159"/>
    <mergeCell ref="Z158:Z159"/>
    <mergeCell ref="AA158:AA159"/>
    <mergeCell ref="AB158:AB159"/>
    <mergeCell ref="B158:B159"/>
    <mergeCell ref="Q158:Q159"/>
    <mergeCell ref="U158:U159"/>
    <mergeCell ref="V158:V159"/>
    <mergeCell ref="W158:W159"/>
    <mergeCell ref="AC158:AC159"/>
  </mergeCells>
  <phoneticPr fontId="17" type="noConversion"/>
  <dataValidations disablePrompts="1" count="1">
    <dataValidation type="list" allowBlank="1" showInputMessage="1" showErrorMessage="1" sqref="P9:P10 P40:P41 P58:P59 P94:P95 P101:P102 P111:P112 P128:P129 P52:P53 P158:P159" xr:uid="{00000000-0002-0000-0600-000000000000}">
      <formula1>"G,T,E,O"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64"/>
  <sheetViews>
    <sheetView tabSelected="1" topLeftCell="A22" workbookViewId="0">
      <selection activeCell="O29" sqref="O29"/>
    </sheetView>
  </sheetViews>
  <sheetFormatPr defaultRowHeight="13.2" x14ac:dyDescent="0.25"/>
  <cols>
    <col min="2" max="2" width="44.44140625" customWidth="1"/>
    <col min="3" max="3" width="12.5546875" customWidth="1"/>
    <col min="4" max="4" width="14.44140625" customWidth="1"/>
    <col min="7" max="7" width="11" customWidth="1"/>
    <col min="9" max="9" width="10.109375" customWidth="1"/>
  </cols>
  <sheetData>
    <row r="2" spans="1:13" ht="14.4" x14ac:dyDescent="0.25">
      <c r="A2" s="66"/>
      <c r="B2" s="152" t="s">
        <v>55</v>
      </c>
      <c r="C2" s="69"/>
    </row>
    <row r="3" spans="1:13" ht="14.4" x14ac:dyDescent="0.25">
      <c r="A3" s="66"/>
      <c r="B3" s="152" t="s">
        <v>56</v>
      </c>
      <c r="C3" s="69"/>
    </row>
    <row r="4" spans="1:13" ht="14.4" x14ac:dyDescent="0.25">
      <c r="B4" s="154" t="s">
        <v>54</v>
      </c>
      <c r="C4" s="71"/>
      <c r="D4" s="69"/>
    </row>
    <row r="5" spans="1:13" ht="15" customHeight="1" x14ac:dyDescent="0.25"/>
    <row r="6" spans="1:13" ht="15" customHeight="1" x14ac:dyDescent="0.25">
      <c r="B6" s="161" t="s">
        <v>380</v>
      </c>
    </row>
    <row r="7" spans="1:13" ht="15" customHeight="1" x14ac:dyDescent="0.25"/>
    <row r="8" spans="1:13" ht="15.6" x14ac:dyDescent="0.25">
      <c r="B8" s="2" t="s">
        <v>43</v>
      </c>
      <c r="C8" s="3"/>
      <c r="D8" s="4"/>
      <c r="E8" s="4"/>
      <c r="F8" s="4"/>
      <c r="G8" s="3"/>
      <c r="H8" s="5"/>
      <c r="I8" s="6"/>
      <c r="J8" s="5"/>
      <c r="K8" s="79"/>
      <c r="L8" s="79"/>
      <c r="M8" s="1"/>
    </row>
    <row r="9" spans="1:13" ht="14.4" x14ac:dyDescent="0.25">
      <c r="B9" s="878" t="s">
        <v>1</v>
      </c>
      <c r="C9" s="8" t="s">
        <v>0</v>
      </c>
      <c r="D9" s="68" t="s">
        <v>12</v>
      </c>
      <c r="E9" s="68" t="s">
        <v>4</v>
      </c>
      <c r="F9" s="68" t="s">
        <v>2</v>
      </c>
      <c r="G9" s="68" t="s">
        <v>6</v>
      </c>
      <c r="H9" s="67" t="s">
        <v>5</v>
      </c>
      <c r="I9" s="9" t="s">
        <v>35</v>
      </c>
      <c r="J9" s="67" t="s">
        <v>14</v>
      </c>
      <c r="K9" s="826" t="s">
        <v>7</v>
      </c>
      <c r="L9" s="881" t="s">
        <v>8</v>
      </c>
      <c r="M9" s="1"/>
    </row>
    <row r="10" spans="1:13" ht="14.4" x14ac:dyDescent="0.3">
      <c r="B10" s="878"/>
      <c r="C10" s="47" t="s">
        <v>9</v>
      </c>
      <c r="D10" s="48" t="s">
        <v>10</v>
      </c>
      <c r="E10" s="48" t="s">
        <v>10</v>
      </c>
      <c r="F10" s="48" t="s">
        <v>10</v>
      </c>
      <c r="G10" s="47" t="s">
        <v>9</v>
      </c>
      <c r="H10" s="49" t="s">
        <v>11</v>
      </c>
      <c r="I10" s="49" t="s">
        <v>11</v>
      </c>
      <c r="J10" s="49" t="s">
        <v>15</v>
      </c>
      <c r="K10" s="826"/>
      <c r="L10" s="881"/>
      <c r="M10" s="1"/>
    </row>
    <row r="11" spans="1:13" ht="14.4" x14ac:dyDescent="0.3">
      <c r="B11" s="93" t="s">
        <v>44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"/>
    </row>
    <row r="12" spans="1:13" ht="15" customHeight="1" x14ac:dyDescent="0.25">
      <c r="B12" s="252" t="s">
        <v>203</v>
      </c>
      <c r="C12" s="11"/>
      <c r="D12" s="111">
        <v>8.52</v>
      </c>
      <c r="E12" s="111">
        <v>7.97</v>
      </c>
      <c r="F12" s="54"/>
      <c r="G12" s="84">
        <v>1</v>
      </c>
      <c r="H12" s="109">
        <f>D12*E12*G12</f>
        <v>67.904399999999995</v>
      </c>
      <c r="I12" s="11"/>
      <c r="J12" s="11"/>
      <c r="K12" s="15" t="s">
        <v>3</v>
      </c>
      <c r="L12" s="112">
        <f>H12</f>
        <v>67.904399999999995</v>
      </c>
      <c r="M12" s="1"/>
    </row>
    <row r="13" spans="1:13" ht="15" customHeight="1" x14ac:dyDescent="0.25">
      <c r="B13" s="252" t="s">
        <v>667</v>
      </c>
      <c r="C13" s="11"/>
      <c r="D13" s="111">
        <v>8.82</v>
      </c>
      <c r="E13" s="111">
        <v>8.27</v>
      </c>
      <c r="F13" s="54"/>
      <c r="G13" s="84">
        <v>1</v>
      </c>
      <c r="H13" s="109">
        <f>D13*E13*G13</f>
        <v>72.941400000000002</v>
      </c>
      <c r="I13" s="11"/>
      <c r="J13" s="11"/>
      <c r="K13" s="15" t="s">
        <v>3</v>
      </c>
      <c r="L13" s="112">
        <f>H13</f>
        <v>72.941400000000002</v>
      </c>
      <c r="M13" s="1"/>
    </row>
    <row r="14" spans="1:13" ht="15" customHeight="1" x14ac:dyDescent="0.25">
      <c r="B14" s="252" t="s">
        <v>668</v>
      </c>
      <c r="C14" s="11"/>
      <c r="D14" s="111"/>
      <c r="E14" s="111"/>
      <c r="F14" s="54"/>
      <c r="G14" s="84">
        <v>1</v>
      </c>
      <c r="H14" s="109">
        <v>351.23</v>
      </c>
      <c r="I14" s="11"/>
      <c r="J14" s="11"/>
      <c r="K14" s="15" t="s">
        <v>3</v>
      </c>
      <c r="L14" s="112">
        <f>H14*G14</f>
        <v>351.23</v>
      </c>
      <c r="M14" s="1"/>
    </row>
    <row r="15" spans="1:13" ht="15" customHeight="1" x14ac:dyDescent="0.25">
      <c r="B15" s="252" t="s">
        <v>668</v>
      </c>
      <c r="C15" s="11"/>
      <c r="D15" s="111"/>
      <c r="E15" s="111"/>
      <c r="F15" s="54"/>
      <c r="G15" s="84">
        <v>1</v>
      </c>
      <c r="H15" s="109">
        <v>157.08000000000001</v>
      </c>
      <c r="I15" s="11"/>
      <c r="J15" s="11"/>
      <c r="K15" s="15" t="s">
        <v>3</v>
      </c>
      <c r="L15" s="112">
        <f t="shared" ref="L15:L28" si="0">H15*G15</f>
        <v>157.08000000000001</v>
      </c>
      <c r="M15" s="1"/>
    </row>
    <row r="16" spans="1:13" ht="15" customHeight="1" x14ac:dyDescent="0.25">
      <c r="B16" s="252" t="s">
        <v>668</v>
      </c>
      <c r="C16" s="11"/>
      <c r="D16" s="111"/>
      <c r="E16" s="111"/>
      <c r="F16" s="54"/>
      <c r="G16" s="84">
        <v>1</v>
      </c>
      <c r="H16" s="109">
        <v>172.73</v>
      </c>
      <c r="I16" s="11"/>
      <c r="J16" s="11"/>
      <c r="K16" s="15" t="s">
        <v>3</v>
      </c>
      <c r="L16" s="112">
        <f t="shared" si="0"/>
        <v>172.73</v>
      </c>
      <c r="M16" s="1"/>
    </row>
    <row r="17" spans="2:14" ht="15" customHeight="1" x14ac:dyDescent="0.25">
      <c r="B17" s="252" t="s">
        <v>668</v>
      </c>
      <c r="C17" s="11"/>
      <c r="D17" s="111"/>
      <c r="E17" s="111"/>
      <c r="F17" s="54"/>
      <c r="G17" s="84">
        <v>1</v>
      </c>
      <c r="H17" s="109">
        <v>133.84</v>
      </c>
      <c r="I17" s="11"/>
      <c r="J17" s="11"/>
      <c r="K17" s="15" t="s">
        <v>3</v>
      </c>
      <c r="L17" s="112">
        <f t="shared" si="0"/>
        <v>133.84</v>
      </c>
      <c r="M17" s="1"/>
    </row>
    <row r="18" spans="2:14" ht="15" customHeight="1" x14ac:dyDescent="0.25">
      <c r="B18" s="252" t="s">
        <v>668</v>
      </c>
      <c r="C18" s="11"/>
      <c r="D18" s="111"/>
      <c r="E18" s="111"/>
      <c r="F18" s="54"/>
      <c r="G18" s="84">
        <v>1</v>
      </c>
      <c r="H18" s="109">
        <v>417.71</v>
      </c>
      <c r="I18" s="11"/>
      <c r="J18" s="11"/>
      <c r="K18" s="15" t="s">
        <v>3</v>
      </c>
      <c r="L18" s="112">
        <f t="shared" si="0"/>
        <v>417.71</v>
      </c>
      <c r="M18" s="1"/>
    </row>
    <row r="19" spans="2:14" ht="15" customHeight="1" x14ac:dyDescent="0.25">
      <c r="B19" s="252" t="s">
        <v>668</v>
      </c>
      <c r="C19" s="11"/>
      <c r="D19" s="111"/>
      <c r="E19" s="111"/>
      <c r="F19" s="54"/>
      <c r="G19" s="84">
        <v>1</v>
      </c>
      <c r="H19" s="109">
        <v>98.37</v>
      </c>
      <c r="I19" s="11"/>
      <c r="J19" s="11"/>
      <c r="K19" s="15" t="s">
        <v>3</v>
      </c>
      <c r="L19" s="112">
        <f t="shared" si="0"/>
        <v>98.37</v>
      </c>
      <c r="M19" s="1"/>
    </row>
    <row r="20" spans="2:14" ht="15" customHeight="1" x14ac:dyDescent="0.25">
      <c r="B20" s="252" t="s">
        <v>668</v>
      </c>
      <c r="C20" s="11"/>
      <c r="D20" s="111"/>
      <c r="E20" s="111"/>
      <c r="F20" s="54"/>
      <c r="G20" s="84">
        <v>1</v>
      </c>
      <c r="H20" s="109">
        <v>221.92</v>
      </c>
      <c r="I20" s="11"/>
      <c r="J20" s="11"/>
      <c r="K20" s="15" t="s">
        <v>3</v>
      </c>
      <c r="L20" s="112">
        <f t="shared" si="0"/>
        <v>221.92</v>
      </c>
      <c r="M20" s="1"/>
      <c r="N20" s="150"/>
    </row>
    <row r="21" spans="2:14" ht="15" customHeight="1" x14ac:dyDescent="0.25">
      <c r="B21" s="252" t="s">
        <v>668</v>
      </c>
      <c r="C21" s="11"/>
      <c r="D21" s="111"/>
      <c r="E21" s="111"/>
      <c r="F21" s="54"/>
      <c r="G21" s="84">
        <v>1</v>
      </c>
      <c r="H21" s="109">
        <v>153.19</v>
      </c>
      <c r="I21" s="11"/>
      <c r="J21" s="11"/>
      <c r="K21" s="15" t="s">
        <v>3</v>
      </c>
      <c r="L21" s="112">
        <f t="shared" si="0"/>
        <v>153.19</v>
      </c>
      <c r="M21" s="1"/>
      <c r="N21" s="150"/>
    </row>
    <row r="22" spans="2:14" ht="15" customHeight="1" x14ac:dyDescent="0.25">
      <c r="B22" s="252" t="s">
        <v>668</v>
      </c>
      <c r="C22" s="11"/>
      <c r="D22" s="111"/>
      <c r="E22" s="111"/>
      <c r="F22" s="54"/>
      <c r="G22" s="84">
        <v>1</v>
      </c>
      <c r="H22" s="107">
        <v>157.74</v>
      </c>
      <c r="I22" s="11"/>
      <c r="J22" s="11"/>
      <c r="K22" s="15" t="s">
        <v>3</v>
      </c>
      <c r="L22" s="253">
        <f t="shared" si="0"/>
        <v>157.74</v>
      </c>
      <c r="M22" s="1"/>
      <c r="N22" s="150"/>
    </row>
    <row r="23" spans="2:14" ht="15" customHeight="1" x14ac:dyDescent="0.25">
      <c r="B23" s="252" t="s">
        <v>668</v>
      </c>
      <c r="C23" s="11"/>
      <c r="D23" s="111"/>
      <c r="E23" s="111"/>
      <c r="F23" s="54"/>
      <c r="G23" s="84">
        <v>1</v>
      </c>
      <c r="H23" s="107">
        <v>49.42</v>
      </c>
      <c r="I23" s="11"/>
      <c r="J23" s="11"/>
      <c r="K23" s="15" t="s">
        <v>3</v>
      </c>
      <c r="L23" s="253">
        <f t="shared" si="0"/>
        <v>49.42</v>
      </c>
      <c r="M23" s="1"/>
      <c r="N23" s="150"/>
    </row>
    <row r="24" spans="2:14" ht="15" customHeight="1" x14ac:dyDescent="0.25">
      <c r="B24" s="252" t="s">
        <v>668</v>
      </c>
      <c r="C24" s="11"/>
      <c r="D24" s="111"/>
      <c r="E24" s="111"/>
      <c r="F24" s="54"/>
      <c r="G24" s="84">
        <v>1</v>
      </c>
      <c r="H24" s="107">
        <v>22.43</v>
      </c>
      <c r="I24" s="11"/>
      <c r="J24" s="11"/>
      <c r="K24" s="15" t="s">
        <v>3</v>
      </c>
      <c r="L24" s="253">
        <f t="shared" si="0"/>
        <v>22.43</v>
      </c>
      <c r="M24" s="1"/>
      <c r="N24" s="150"/>
    </row>
    <row r="25" spans="2:14" ht="15" customHeight="1" x14ac:dyDescent="0.25">
      <c r="B25" s="252" t="s">
        <v>668</v>
      </c>
      <c r="C25" s="11"/>
      <c r="D25" s="111"/>
      <c r="E25" s="111"/>
      <c r="F25" s="54"/>
      <c r="G25" s="84">
        <v>1</v>
      </c>
      <c r="H25" s="107">
        <v>120.98</v>
      </c>
      <c r="I25" s="11"/>
      <c r="J25" s="11"/>
      <c r="K25" s="15" t="s">
        <v>3</v>
      </c>
      <c r="L25" s="253">
        <f t="shared" si="0"/>
        <v>120.98</v>
      </c>
      <c r="M25" s="1"/>
      <c r="N25" s="150"/>
    </row>
    <row r="26" spans="2:14" ht="15" customHeight="1" x14ac:dyDescent="0.25">
      <c r="B26" s="252" t="s">
        <v>668</v>
      </c>
      <c r="C26" s="11"/>
      <c r="D26" s="111"/>
      <c r="E26" s="111"/>
      <c r="F26" s="54"/>
      <c r="G26" s="84">
        <v>1</v>
      </c>
      <c r="H26" s="107">
        <v>19.13</v>
      </c>
      <c r="I26" s="11"/>
      <c r="J26" s="11"/>
      <c r="K26" s="15" t="s">
        <v>3</v>
      </c>
      <c r="L26" s="253">
        <f t="shared" si="0"/>
        <v>19.13</v>
      </c>
      <c r="M26" s="1"/>
      <c r="N26" s="150"/>
    </row>
    <row r="27" spans="2:14" ht="15" customHeight="1" x14ac:dyDescent="0.25">
      <c r="B27" s="252" t="s">
        <v>668</v>
      </c>
      <c r="C27" s="11"/>
      <c r="D27" s="111"/>
      <c r="E27" s="111"/>
      <c r="F27" s="54"/>
      <c r="G27" s="84">
        <v>1</v>
      </c>
      <c r="H27" s="107">
        <v>20.059999999999999</v>
      </c>
      <c r="I27" s="11"/>
      <c r="J27" s="11"/>
      <c r="K27" s="15" t="s">
        <v>3</v>
      </c>
      <c r="L27" s="253">
        <f t="shared" si="0"/>
        <v>20.059999999999999</v>
      </c>
      <c r="M27" s="1"/>
    </row>
    <row r="28" spans="2:14" ht="15" customHeight="1" x14ac:dyDescent="0.25">
      <c r="B28" s="252" t="s">
        <v>668</v>
      </c>
      <c r="C28" s="11"/>
      <c r="D28" s="111"/>
      <c r="E28" s="111"/>
      <c r="F28" s="54"/>
      <c r="G28" s="84">
        <v>1</v>
      </c>
      <c r="H28" s="107">
        <v>16.760000000000002</v>
      </c>
      <c r="I28" s="11"/>
      <c r="J28" s="11"/>
      <c r="K28" s="15" t="s">
        <v>3</v>
      </c>
      <c r="L28" s="253">
        <f t="shared" si="0"/>
        <v>16.760000000000002</v>
      </c>
      <c r="M28" s="1"/>
    </row>
    <row r="29" spans="2:14" ht="14.4" x14ac:dyDescent="0.25">
      <c r="B29" s="21" t="s">
        <v>27</v>
      </c>
      <c r="C29" s="12"/>
      <c r="D29" s="12"/>
      <c r="E29" s="12"/>
      <c r="F29" s="12"/>
      <c r="G29" s="12"/>
      <c r="H29" s="101"/>
      <c r="I29" s="12"/>
      <c r="J29" s="12"/>
      <c r="K29" s="14" t="s">
        <v>3</v>
      </c>
      <c r="L29" s="101">
        <f>SUM(L12:L28)</f>
        <v>2253.4358000000002</v>
      </c>
      <c r="M29" s="1"/>
    </row>
    <row r="30" spans="2:14" ht="15" customHeight="1" x14ac:dyDescent="0.25">
      <c r="B30" s="893" t="s">
        <v>1</v>
      </c>
      <c r="C30" s="894" t="s">
        <v>0</v>
      </c>
      <c r="D30" s="895" t="s">
        <v>12</v>
      </c>
      <c r="E30" s="895" t="s">
        <v>4</v>
      </c>
      <c r="F30" s="895" t="s">
        <v>2</v>
      </c>
      <c r="G30" s="895" t="s">
        <v>6</v>
      </c>
      <c r="H30" s="896" t="s">
        <v>5</v>
      </c>
      <c r="I30" s="897" t="s">
        <v>35</v>
      </c>
      <c r="J30" s="896" t="s">
        <v>14</v>
      </c>
      <c r="K30" s="898" t="s">
        <v>7</v>
      </c>
      <c r="L30" s="899" t="s">
        <v>8</v>
      </c>
    </row>
    <row r="31" spans="2:14" ht="14.4" x14ac:dyDescent="0.3">
      <c r="B31" s="893"/>
      <c r="C31" s="900" t="s">
        <v>9</v>
      </c>
      <c r="D31" s="901" t="s">
        <v>10</v>
      </c>
      <c r="E31" s="901" t="s">
        <v>10</v>
      </c>
      <c r="F31" s="901" t="s">
        <v>10</v>
      </c>
      <c r="G31" s="900" t="s">
        <v>9</v>
      </c>
      <c r="H31" s="902" t="s">
        <v>11</v>
      </c>
      <c r="I31" s="902" t="s">
        <v>11</v>
      </c>
      <c r="J31" s="902" t="s">
        <v>15</v>
      </c>
      <c r="K31" s="903"/>
      <c r="L31" s="904"/>
    </row>
    <row r="32" spans="2:14" ht="14.4" x14ac:dyDescent="0.25">
      <c r="B32" s="905" t="s">
        <v>672</v>
      </c>
      <c r="C32" s="906"/>
      <c r="D32" s="907"/>
      <c r="E32" s="907"/>
      <c r="F32" s="907"/>
      <c r="G32" s="906"/>
      <c r="H32" s="908"/>
      <c r="I32" s="909"/>
      <c r="J32" s="908"/>
      <c r="K32" s="910"/>
      <c r="L32" s="911"/>
    </row>
    <row r="33" spans="2:12" ht="14.4" x14ac:dyDescent="0.3">
      <c r="B33" s="912" t="s">
        <v>671</v>
      </c>
      <c r="C33" s="913"/>
      <c r="D33" s="913"/>
      <c r="E33" s="913"/>
      <c r="F33" s="913"/>
      <c r="G33" s="914">
        <v>1</v>
      </c>
      <c r="H33" s="915">
        <v>16.760000000000002</v>
      </c>
      <c r="I33" s="913"/>
      <c r="J33" s="916"/>
      <c r="K33" s="917" t="s">
        <v>3</v>
      </c>
      <c r="L33" s="918">
        <f t="shared" ref="L33:L34" si="1">H33*G33</f>
        <v>16.760000000000002</v>
      </c>
    </row>
    <row r="34" spans="2:12" ht="14.4" x14ac:dyDescent="0.3">
      <c r="B34" s="912" t="s">
        <v>671</v>
      </c>
      <c r="C34" s="913"/>
      <c r="D34" s="913"/>
      <c r="E34" s="913"/>
      <c r="F34" s="913"/>
      <c r="G34" s="914">
        <v>1</v>
      </c>
      <c r="H34" s="915">
        <v>265.05</v>
      </c>
      <c r="I34" s="913"/>
      <c r="J34" s="916"/>
      <c r="K34" s="917" t="s">
        <v>3</v>
      </c>
      <c r="L34" s="918">
        <f t="shared" si="1"/>
        <v>265.05</v>
      </c>
    </row>
    <row r="35" spans="2:12" ht="14.4" x14ac:dyDescent="0.3">
      <c r="B35" s="912" t="s">
        <v>671</v>
      </c>
      <c r="C35" s="913"/>
      <c r="D35" s="913"/>
      <c r="E35" s="913"/>
      <c r="F35" s="913"/>
      <c r="G35" s="914">
        <v>1</v>
      </c>
      <c r="H35" s="919">
        <v>362.68</v>
      </c>
      <c r="I35" s="913"/>
      <c r="J35" s="916"/>
      <c r="K35" s="917" t="s">
        <v>3</v>
      </c>
      <c r="L35" s="918">
        <f>H35*G35</f>
        <v>362.68</v>
      </c>
    </row>
    <row r="36" spans="2:12" ht="14.4" x14ac:dyDescent="0.25">
      <c r="B36" s="920" t="s">
        <v>27</v>
      </c>
      <c r="C36" s="921"/>
      <c r="D36" s="921"/>
      <c r="E36" s="921"/>
      <c r="F36" s="921"/>
      <c r="G36" s="921"/>
      <c r="H36" s="922"/>
      <c r="I36" s="921"/>
      <c r="J36" s="921"/>
      <c r="K36" s="923" t="s">
        <v>3</v>
      </c>
      <c r="L36" s="924">
        <f>SUM(L33:L35)</f>
        <v>644.49</v>
      </c>
    </row>
    <row r="37" spans="2:12" ht="14.4" x14ac:dyDescent="0.25">
      <c r="B37" s="822" t="s">
        <v>1</v>
      </c>
      <c r="C37" s="8" t="s">
        <v>0</v>
      </c>
      <c r="D37" s="68" t="s">
        <v>12</v>
      </c>
      <c r="E37" s="68" t="s">
        <v>4</v>
      </c>
      <c r="F37" s="68" t="s">
        <v>2</v>
      </c>
      <c r="G37" s="68" t="s">
        <v>6</v>
      </c>
      <c r="H37" s="67" t="s">
        <v>5</v>
      </c>
      <c r="I37" s="9" t="s">
        <v>35</v>
      </c>
      <c r="J37" s="67" t="s">
        <v>14</v>
      </c>
      <c r="K37" s="826" t="s">
        <v>7</v>
      </c>
      <c r="L37" s="879" t="s">
        <v>8</v>
      </c>
    </row>
    <row r="38" spans="2:12" ht="14.4" x14ac:dyDescent="0.3">
      <c r="B38" s="828"/>
      <c r="C38" s="47" t="s">
        <v>9</v>
      </c>
      <c r="D38" s="48" t="s">
        <v>10</v>
      </c>
      <c r="E38" s="48" t="s">
        <v>10</v>
      </c>
      <c r="F38" s="48" t="s">
        <v>10</v>
      </c>
      <c r="G38" s="47" t="s">
        <v>9</v>
      </c>
      <c r="H38" s="49" t="s">
        <v>11</v>
      </c>
      <c r="I38" s="49" t="s">
        <v>11</v>
      </c>
      <c r="J38" s="49" t="s">
        <v>15</v>
      </c>
      <c r="K38" s="826"/>
      <c r="L38" s="880"/>
    </row>
    <row r="39" spans="2:12" ht="14.4" x14ac:dyDescent="0.3">
      <c r="B39" s="93" t="s">
        <v>198</v>
      </c>
      <c r="C39" s="110"/>
      <c r="D39" s="110"/>
      <c r="E39" s="110"/>
      <c r="F39" s="110"/>
      <c r="G39" s="110"/>
      <c r="H39" s="110"/>
      <c r="I39" s="110"/>
      <c r="J39" s="110"/>
      <c r="K39" s="110"/>
      <c r="L39" s="251"/>
    </row>
    <row r="40" spans="2:12" ht="14.4" x14ac:dyDescent="0.25">
      <c r="B40" s="252" t="s">
        <v>673</v>
      </c>
      <c r="C40" s="11"/>
      <c r="D40" s="144">
        <v>16.739999999999998</v>
      </c>
      <c r="E40" s="100"/>
      <c r="F40" s="92"/>
      <c r="G40" s="108">
        <v>1</v>
      </c>
      <c r="H40" s="107"/>
      <c r="I40" s="11"/>
      <c r="J40" s="11"/>
      <c r="K40" s="15" t="s">
        <v>197</v>
      </c>
      <c r="L40" s="253">
        <f>D40*G40</f>
        <v>16.739999999999998</v>
      </c>
    </row>
    <row r="41" spans="2:12" ht="14.4" x14ac:dyDescent="0.25">
      <c r="B41" s="252" t="s">
        <v>674</v>
      </c>
      <c r="C41" s="11"/>
      <c r="D41" s="144">
        <v>16.739999999999998</v>
      </c>
      <c r="E41" s="100"/>
      <c r="F41" s="92"/>
      <c r="G41" s="108">
        <v>1</v>
      </c>
      <c r="H41" s="107"/>
      <c r="I41" s="11"/>
      <c r="J41" s="11"/>
      <c r="K41" s="15" t="s">
        <v>197</v>
      </c>
      <c r="L41" s="253">
        <f>D41*G41</f>
        <v>16.739999999999998</v>
      </c>
    </row>
    <row r="42" spans="2:12" ht="14.4" x14ac:dyDescent="0.25">
      <c r="B42" s="21" t="s">
        <v>27</v>
      </c>
      <c r="C42" s="12"/>
      <c r="D42" s="12"/>
      <c r="E42" s="12"/>
      <c r="F42" s="12"/>
      <c r="G42" s="12"/>
      <c r="H42" s="101"/>
      <c r="I42" s="12"/>
      <c r="J42" s="12"/>
      <c r="K42" s="14" t="s">
        <v>197</v>
      </c>
      <c r="L42" s="250">
        <f>SUM(L40:L41)</f>
        <v>33.479999999999997</v>
      </c>
    </row>
    <row r="43" spans="2:12" ht="14.4" x14ac:dyDescent="0.25">
      <c r="B43" s="822" t="s">
        <v>1</v>
      </c>
      <c r="C43" s="8" t="s">
        <v>0</v>
      </c>
      <c r="D43" s="68" t="s">
        <v>12</v>
      </c>
      <c r="E43" s="68" t="s">
        <v>4</v>
      </c>
      <c r="F43" s="68" t="s">
        <v>2</v>
      </c>
      <c r="G43" s="68" t="s">
        <v>6</v>
      </c>
      <c r="H43" s="67" t="s">
        <v>5</v>
      </c>
      <c r="I43" s="9" t="s">
        <v>35</v>
      </c>
      <c r="J43" s="67" t="s">
        <v>14</v>
      </c>
      <c r="K43" s="826" t="s">
        <v>7</v>
      </c>
      <c r="L43" s="879" t="s">
        <v>8</v>
      </c>
    </row>
    <row r="44" spans="2:12" ht="14.4" x14ac:dyDescent="0.3">
      <c r="B44" s="828"/>
      <c r="C44" s="47" t="s">
        <v>9</v>
      </c>
      <c r="D44" s="48" t="s">
        <v>10</v>
      </c>
      <c r="E44" s="48" t="s">
        <v>10</v>
      </c>
      <c r="F44" s="48" t="s">
        <v>10</v>
      </c>
      <c r="G44" s="47" t="s">
        <v>9</v>
      </c>
      <c r="H44" s="49" t="s">
        <v>11</v>
      </c>
      <c r="I44" s="49" t="s">
        <v>11</v>
      </c>
      <c r="J44" s="49" t="s">
        <v>15</v>
      </c>
      <c r="K44" s="826"/>
      <c r="L44" s="880"/>
    </row>
    <row r="45" spans="2:12" ht="14.4" x14ac:dyDescent="0.3">
      <c r="B45" s="93" t="s">
        <v>199</v>
      </c>
      <c r="C45" s="110"/>
      <c r="D45" s="110"/>
      <c r="E45" s="110"/>
      <c r="F45" s="110"/>
      <c r="G45" s="110"/>
      <c r="H45" s="110"/>
      <c r="I45" s="110"/>
      <c r="J45" s="110"/>
      <c r="K45" s="110"/>
      <c r="L45" s="251"/>
    </row>
    <row r="46" spans="2:12" ht="14.4" x14ac:dyDescent="0.25">
      <c r="B46" s="252" t="s">
        <v>199</v>
      </c>
      <c r="C46" s="11"/>
      <c r="D46" s="144">
        <v>44.03</v>
      </c>
      <c r="E46" s="100"/>
      <c r="F46" s="92"/>
      <c r="G46" s="108">
        <v>1</v>
      </c>
      <c r="H46" s="107"/>
      <c r="I46" s="11"/>
      <c r="J46" s="11"/>
      <c r="K46" s="15" t="s">
        <v>197</v>
      </c>
      <c r="L46" s="253">
        <f>D46*G46</f>
        <v>44.03</v>
      </c>
    </row>
    <row r="47" spans="2:12" ht="14.4" x14ac:dyDescent="0.25">
      <c r="B47" s="252"/>
      <c r="C47" s="11"/>
      <c r="D47" s="144"/>
      <c r="E47" s="100"/>
      <c r="F47" s="92"/>
      <c r="G47" s="108"/>
      <c r="H47" s="107"/>
      <c r="I47" s="11"/>
      <c r="J47" s="11"/>
      <c r="K47" s="15"/>
      <c r="L47" s="253"/>
    </row>
    <row r="48" spans="2:12" ht="14.4" x14ac:dyDescent="0.25">
      <c r="B48" s="21" t="s">
        <v>27</v>
      </c>
      <c r="C48" s="12"/>
      <c r="D48" s="19"/>
      <c r="E48" s="12"/>
      <c r="F48" s="12"/>
      <c r="G48" s="12"/>
      <c r="H48" s="101"/>
      <c r="I48" s="12"/>
      <c r="J48" s="12"/>
      <c r="K48" s="14" t="s">
        <v>197</v>
      </c>
      <c r="L48" s="250">
        <f>SUM(L46:L47)</f>
        <v>44.03</v>
      </c>
    </row>
    <row r="49" spans="2:12" ht="14.4" x14ac:dyDescent="0.25">
      <c r="B49" s="822" t="s">
        <v>1</v>
      </c>
      <c r="C49" s="8" t="s">
        <v>0</v>
      </c>
      <c r="D49" s="68" t="s">
        <v>12</v>
      </c>
      <c r="E49" s="68" t="s">
        <v>4</v>
      </c>
      <c r="F49" s="68" t="s">
        <v>2</v>
      </c>
      <c r="G49" s="68" t="s">
        <v>6</v>
      </c>
      <c r="H49" s="67" t="s">
        <v>5</v>
      </c>
      <c r="I49" s="9" t="s">
        <v>35</v>
      </c>
      <c r="J49" s="67" t="s">
        <v>14</v>
      </c>
      <c r="K49" s="826" t="s">
        <v>7</v>
      </c>
      <c r="L49" s="879" t="s">
        <v>8</v>
      </c>
    </row>
    <row r="50" spans="2:12" ht="14.4" x14ac:dyDescent="0.3">
      <c r="B50" s="828"/>
      <c r="C50" s="47" t="s">
        <v>9</v>
      </c>
      <c r="D50" s="48" t="s">
        <v>10</v>
      </c>
      <c r="E50" s="48" t="s">
        <v>10</v>
      </c>
      <c r="F50" s="48" t="s">
        <v>10</v>
      </c>
      <c r="G50" s="47" t="s">
        <v>9</v>
      </c>
      <c r="H50" s="49" t="s">
        <v>11</v>
      </c>
      <c r="I50" s="49" t="s">
        <v>11</v>
      </c>
      <c r="J50" s="49" t="s">
        <v>15</v>
      </c>
      <c r="K50" s="826"/>
      <c r="L50" s="880"/>
    </row>
    <row r="51" spans="2:12" ht="14.4" x14ac:dyDescent="0.3">
      <c r="B51" s="93" t="s">
        <v>675</v>
      </c>
      <c r="C51" s="110"/>
      <c r="D51" s="110"/>
      <c r="E51" s="110"/>
      <c r="F51" s="110"/>
      <c r="G51" s="110"/>
      <c r="H51" s="110"/>
      <c r="I51" s="110"/>
      <c r="J51" s="110"/>
      <c r="K51" s="110"/>
      <c r="L51" s="251"/>
    </row>
    <row r="52" spans="2:12" ht="14.4" x14ac:dyDescent="0.25">
      <c r="B52" s="252" t="s">
        <v>675</v>
      </c>
      <c r="C52" s="11"/>
      <c r="D52" s="144">
        <v>11.06</v>
      </c>
      <c r="E52" s="100"/>
      <c r="F52" s="92"/>
      <c r="G52" s="108">
        <v>1</v>
      </c>
      <c r="H52" s="107"/>
      <c r="I52" s="11"/>
      <c r="J52" s="11"/>
      <c r="K52" s="15" t="s">
        <v>197</v>
      </c>
      <c r="L52" s="253">
        <f>D52*G52</f>
        <v>11.06</v>
      </c>
    </row>
    <row r="53" spans="2:12" ht="14.4" x14ac:dyDescent="0.25">
      <c r="B53" s="252"/>
      <c r="C53" s="11"/>
      <c r="D53" s="144"/>
      <c r="E53" s="100"/>
      <c r="F53" s="92"/>
      <c r="G53" s="108"/>
      <c r="H53" s="107"/>
      <c r="I53" s="11"/>
      <c r="J53" s="11"/>
      <c r="K53" s="15"/>
      <c r="L53" s="253"/>
    </row>
    <row r="54" spans="2:12" ht="14.4" x14ac:dyDescent="0.25">
      <c r="B54" s="21" t="s">
        <v>27</v>
      </c>
      <c r="C54" s="12"/>
      <c r="D54" s="19"/>
      <c r="E54" s="12"/>
      <c r="F54" s="12"/>
      <c r="G54" s="12"/>
      <c r="H54" s="101"/>
      <c r="I54" s="12"/>
      <c r="J54" s="12"/>
      <c r="K54" s="14" t="s">
        <v>197</v>
      </c>
      <c r="L54" s="250">
        <f>SUM(L52:L53)</f>
        <v>11.06</v>
      </c>
    </row>
    <row r="55" spans="2:12" ht="14.4" x14ac:dyDescent="0.25">
      <c r="B55" s="877" t="s">
        <v>1</v>
      </c>
      <c r="C55" s="55" t="s">
        <v>0</v>
      </c>
      <c r="D55" s="52" t="s">
        <v>12</v>
      </c>
      <c r="E55" s="52" t="s">
        <v>4</v>
      </c>
      <c r="F55" s="52" t="s">
        <v>2</v>
      </c>
      <c r="G55" s="52" t="s">
        <v>6</v>
      </c>
      <c r="H55" s="148" t="s">
        <v>5</v>
      </c>
      <c r="I55" s="56" t="s">
        <v>35</v>
      </c>
      <c r="J55" s="148" t="s">
        <v>14</v>
      </c>
      <c r="K55" s="826" t="s">
        <v>7</v>
      </c>
      <c r="L55" s="879" t="s">
        <v>8</v>
      </c>
    </row>
    <row r="56" spans="2:12" ht="14.4" x14ac:dyDescent="0.3">
      <c r="B56" s="878"/>
      <c r="C56" s="47" t="s">
        <v>9</v>
      </c>
      <c r="D56" s="48" t="s">
        <v>10</v>
      </c>
      <c r="E56" s="48" t="s">
        <v>10</v>
      </c>
      <c r="F56" s="48" t="s">
        <v>10</v>
      </c>
      <c r="G56" s="47" t="s">
        <v>9</v>
      </c>
      <c r="H56" s="49" t="s">
        <v>11</v>
      </c>
      <c r="I56" s="49" t="s">
        <v>11</v>
      </c>
      <c r="J56" s="49" t="s">
        <v>15</v>
      </c>
      <c r="K56" s="826"/>
      <c r="L56" s="880"/>
    </row>
    <row r="57" spans="2:12" ht="14.4" x14ac:dyDescent="0.3">
      <c r="B57" s="93" t="s">
        <v>200</v>
      </c>
      <c r="C57" s="110"/>
      <c r="D57" s="110"/>
      <c r="E57" s="110"/>
      <c r="F57" s="110"/>
      <c r="G57" s="110"/>
      <c r="H57" s="110"/>
      <c r="I57" s="110"/>
      <c r="J57" s="110"/>
      <c r="K57" s="110"/>
      <c r="L57" s="251"/>
    </row>
    <row r="58" spans="2:12" ht="14.4" x14ac:dyDescent="0.25">
      <c r="B58" s="11" t="s">
        <v>201</v>
      </c>
      <c r="C58" s="17"/>
      <c r="D58" s="16">
        <v>33.58</v>
      </c>
      <c r="E58" s="17">
        <v>0.19</v>
      </c>
      <c r="F58" s="17"/>
      <c r="G58" s="91">
        <v>1</v>
      </c>
      <c r="H58" s="17">
        <f>D58*E58*G58</f>
        <v>6.3801999999999994</v>
      </c>
      <c r="I58" s="17"/>
      <c r="J58" s="17"/>
      <c r="K58" s="15" t="s">
        <v>3</v>
      </c>
      <c r="L58" s="253">
        <f>H58</f>
        <v>6.3801999999999994</v>
      </c>
    </row>
    <row r="59" spans="2:12" ht="14.4" x14ac:dyDescent="0.25">
      <c r="B59" s="11" t="s">
        <v>202</v>
      </c>
      <c r="C59" s="17"/>
      <c r="D59" s="16">
        <v>12.07</v>
      </c>
      <c r="E59" s="17">
        <v>0.19</v>
      </c>
      <c r="F59" s="17"/>
      <c r="G59" s="91">
        <v>1</v>
      </c>
      <c r="H59" s="17">
        <f t="shared" ref="H59:H63" si="2">D59*E59*G59</f>
        <v>2.2932999999999999</v>
      </c>
      <c r="I59" s="17"/>
      <c r="J59" s="17"/>
      <c r="K59" s="15" t="s">
        <v>3</v>
      </c>
      <c r="L59" s="253">
        <f t="shared" ref="L59:L63" si="3">H59</f>
        <v>2.2932999999999999</v>
      </c>
    </row>
    <row r="60" spans="2:12" ht="14.4" x14ac:dyDescent="0.25">
      <c r="B60" s="21" t="s">
        <v>27</v>
      </c>
      <c r="C60" s="12"/>
      <c r="D60" s="35">
        <f>SUM(D58:D59)</f>
        <v>45.65</v>
      </c>
      <c r="E60" s="12"/>
      <c r="F60" s="12"/>
      <c r="G60" s="12"/>
      <c r="H60" s="101"/>
      <c r="I60" s="12"/>
      <c r="J60" s="12"/>
      <c r="K60" s="14" t="s">
        <v>3</v>
      </c>
      <c r="L60" s="250">
        <f>SUM(L58:L59)</f>
        <v>8.6734999999999989</v>
      </c>
    </row>
    <row r="61" spans="2:12" ht="14.4" x14ac:dyDescent="0.25">
      <c r="B61" s="93" t="s">
        <v>200</v>
      </c>
      <c r="C61" s="17"/>
      <c r="D61" s="16"/>
      <c r="E61" s="17"/>
      <c r="F61" s="17"/>
      <c r="G61" s="91"/>
      <c r="H61" s="17"/>
      <c r="I61" s="17"/>
      <c r="J61" s="17"/>
      <c r="K61" s="15"/>
      <c r="L61" s="253"/>
    </row>
    <row r="62" spans="2:12" ht="14.4" x14ac:dyDescent="0.25">
      <c r="B62" s="11" t="s">
        <v>679</v>
      </c>
      <c r="C62" s="17"/>
      <c r="D62" s="16">
        <v>87.48</v>
      </c>
      <c r="E62" s="17">
        <v>0.28999999999999998</v>
      </c>
      <c r="F62" s="17"/>
      <c r="G62" s="91">
        <v>1</v>
      </c>
      <c r="H62" s="17">
        <f t="shared" si="2"/>
        <v>25.369199999999999</v>
      </c>
      <c r="I62" s="17"/>
      <c r="J62" s="17"/>
      <c r="K62" s="15" t="s">
        <v>3</v>
      </c>
      <c r="L62" s="253">
        <f t="shared" si="3"/>
        <v>25.369199999999999</v>
      </c>
    </row>
    <row r="63" spans="2:12" ht="14.4" x14ac:dyDescent="0.25">
      <c r="B63" s="11" t="s">
        <v>679</v>
      </c>
      <c r="C63" s="17"/>
      <c r="D63" s="16">
        <v>84.11</v>
      </c>
      <c r="E63" s="17">
        <v>0.28999999999999998</v>
      </c>
      <c r="F63" s="17"/>
      <c r="G63" s="91">
        <v>1</v>
      </c>
      <c r="H63" s="17">
        <f t="shared" si="2"/>
        <v>24.3919</v>
      </c>
      <c r="I63" s="17"/>
      <c r="J63" s="17"/>
      <c r="K63" s="15" t="s">
        <v>3</v>
      </c>
      <c r="L63" s="253">
        <f t="shared" si="3"/>
        <v>24.3919</v>
      </c>
    </row>
    <row r="64" spans="2:12" ht="14.4" x14ac:dyDescent="0.25">
      <c r="B64" s="21" t="s">
        <v>27</v>
      </c>
      <c r="C64" s="12"/>
      <c r="D64" s="35">
        <f>SUM(D62:D63)</f>
        <v>171.59</v>
      </c>
      <c r="E64" s="12"/>
      <c r="F64" s="12"/>
      <c r="G64" s="12"/>
      <c r="H64" s="101"/>
      <c r="I64" s="12"/>
      <c r="J64" s="12"/>
      <c r="K64" s="14" t="s">
        <v>3</v>
      </c>
      <c r="L64" s="250">
        <f>SUM(L62:L63)</f>
        <v>49.761099999999999</v>
      </c>
    </row>
  </sheetData>
  <mergeCells count="18">
    <mergeCell ref="B9:B10"/>
    <mergeCell ref="K9:K10"/>
    <mergeCell ref="L9:L10"/>
    <mergeCell ref="B30:B31"/>
    <mergeCell ref="K30:K31"/>
    <mergeCell ref="L30:L31"/>
    <mergeCell ref="B55:B56"/>
    <mergeCell ref="K55:K56"/>
    <mergeCell ref="L55:L56"/>
    <mergeCell ref="B37:B38"/>
    <mergeCell ref="K37:K38"/>
    <mergeCell ref="L37:L38"/>
    <mergeCell ref="B43:B44"/>
    <mergeCell ref="K43:K44"/>
    <mergeCell ref="L43:L44"/>
    <mergeCell ref="B49:B50"/>
    <mergeCell ref="K49:K50"/>
    <mergeCell ref="L49:L50"/>
  </mergeCells>
  <phoneticPr fontId="17" type="noConversion"/>
  <dataValidations count="1">
    <dataValidation type="list" allowBlank="1" showInputMessage="1" showErrorMessage="1" sqref="H9:H10 I10 H49:H50 I50 H37:H38 I38 H43:H44 I44 H55:H56 I56 H30:H31 I31" xr:uid="{00000000-0002-0000-0700-000000000000}">
      <formula1>"G,T,E,O"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PRELIMINARES</vt:lpstr>
      <vt:lpstr>ALVENARIAS</vt:lpstr>
      <vt:lpstr>DIVISÓRIAS</vt:lpstr>
      <vt:lpstr>REV. PAREDE</vt:lpstr>
      <vt:lpstr>PAVIMENTAÇÃO</vt:lpstr>
      <vt:lpstr>TETO</vt:lpstr>
      <vt:lpstr>ESCADA</vt:lpstr>
      <vt:lpstr>ESQUADRIAS</vt:lpstr>
      <vt:lpstr>COBERTA</vt:lpstr>
      <vt:lpstr>BANCADAS</vt:lpstr>
      <vt:lpstr>BATE MACAS</vt:lpstr>
      <vt:lpstr>METALURGIA</vt:lpstr>
      <vt:lpstr>CASA GERADORES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DELL</cp:lastModifiedBy>
  <cp:lastPrinted>2024-03-27T21:21:41Z</cp:lastPrinted>
  <dcterms:created xsi:type="dcterms:W3CDTF">2009-01-12T00:47:26Z</dcterms:created>
  <dcterms:modified xsi:type="dcterms:W3CDTF">2024-10-01T19:36:26Z</dcterms:modified>
</cp:coreProperties>
</file>